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5180" windowHeight="8835" tabRatio="894" activeTab="3"/>
  </bookViews>
  <sheets>
    <sheet name="Hinweise und Anleitung" sheetId="1" r:id="rId1"/>
    <sheet name="BettungsquerschnittA" sheetId="2" r:id="rId2"/>
    <sheet name="BettungsquerschnittB" sheetId="3" r:id="rId3"/>
    <sheet name="Querschnitt 2-gleisig" sheetId="4" r:id="rId4"/>
    <sheet name="Querschnitt 1-gleisig u&gt;=75mm" sheetId="5" r:id="rId5"/>
    <sheet name="Querschnitt 1-gleisig u&lt;75mm" sheetId="6" r:id="rId6"/>
  </sheets>
  <definedNames>
    <definedName name="a" localSheetId="2">'BettungsquerschnittB'!$C$19</definedName>
    <definedName name="a">'BettungsquerschnittA'!$C$19</definedName>
    <definedName name="aGleis" localSheetId="2">'BettungsquerschnittB'!$C$31</definedName>
    <definedName name="aGleis">'BettungsquerschnittA'!$C$31</definedName>
    <definedName name="al" localSheetId="2">'BettungsquerschnittB'!$C$19</definedName>
    <definedName name="al">'BettungsquerschnittA'!$C$19</definedName>
    <definedName name="aSchwelle" localSheetId="2">'BettungsquerschnittB'!$C$19</definedName>
    <definedName name="aSchwelle">'BettungsquerschnittA'!$C$19</definedName>
    <definedName name="d" localSheetId="2">'BettungsquerschnittB'!$C$23</definedName>
    <definedName name="d">'BettungsquerschnittA'!$C$23</definedName>
    <definedName name="_xlnm.Print_Area" localSheetId="1">'BettungsquerschnittA'!$A$1:$AZ$67</definedName>
    <definedName name="_xlnm.Print_Area" localSheetId="2">'BettungsquerschnittB'!$A$1:$AS$67</definedName>
    <definedName name="gleisig" localSheetId="2">'BettungsquerschnittB'!$C$27</definedName>
    <definedName name="gleisig">'BettungsquerschnittA'!$C$27</definedName>
    <definedName name="l" localSheetId="2">'BettungsquerschnittB'!$C$15</definedName>
    <definedName name="l">'BettungsquerschnittA'!$C$15</definedName>
    <definedName name="u" localSheetId="2">'BettungsquerschnittB'!$C$35</definedName>
    <definedName name="u">'BettungsquerschnittA'!$C$35</definedName>
  </definedNames>
  <calcPr fullCalcOnLoad="1"/>
</workbook>
</file>

<file path=xl/sharedStrings.xml><?xml version="1.0" encoding="utf-8"?>
<sst xmlns="http://schemas.openxmlformats.org/spreadsheetml/2006/main" count="669" uniqueCount="147">
  <si>
    <t>Geschwindigkeit v</t>
  </si>
  <si>
    <t>km/h</t>
  </si>
  <si>
    <t>m</t>
  </si>
  <si>
    <t>unterhalb der Schwelle</t>
  </si>
  <si>
    <t>Anzahl der Gleise</t>
  </si>
  <si>
    <t>Gleisabstand</t>
  </si>
  <si>
    <t>Überhöhung</t>
  </si>
  <si>
    <t>mm</t>
  </si>
  <si>
    <t>Schwellentyp</t>
  </si>
  <si>
    <t>Schwellenlänge</t>
  </si>
  <si>
    <t>B90</t>
  </si>
  <si>
    <t>B75</t>
  </si>
  <si>
    <t>Schwellenabstand</t>
  </si>
  <si>
    <t>Schotterbreite vor Schwellenkopf</t>
  </si>
  <si>
    <t>Neigung der Schotterböschung</t>
  </si>
  <si>
    <t>:</t>
  </si>
  <si>
    <t>10 bis 300 km/h</t>
  </si>
  <si>
    <t>Neigung des Planums</t>
  </si>
  <si>
    <t>Raumgewicht des Schotters</t>
  </si>
  <si>
    <t>t/m³</t>
  </si>
  <si>
    <t>Ergebnis der Berechnung:</t>
  </si>
  <si>
    <t>m²</t>
  </si>
  <si>
    <t>m³/m</t>
  </si>
  <si>
    <t>t/m</t>
  </si>
  <si>
    <t>Höhe Schwelle unter dem Auflager:</t>
  </si>
  <si>
    <t>Möglicher Schwellenabstand:</t>
  </si>
  <si>
    <t>Mögliche Schotterbettstärke unterhalb der Schwelle:</t>
  </si>
  <si>
    <t>Mögliche Gleisabstände:</t>
  </si>
  <si>
    <t>Mögliche Schwellenlängen:</t>
  </si>
  <si>
    <t>B58</t>
  </si>
  <si>
    <t>Punkte</t>
  </si>
  <si>
    <t>Gleis Bogenaußenseite</t>
  </si>
  <si>
    <t>Ai</t>
  </si>
  <si>
    <t>Bi</t>
  </si>
  <si>
    <t>Ci</t>
  </si>
  <si>
    <t>Di</t>
  </si>
  <si>
    <t>Ei</t>
  </si>
  <si>
    <t>Fi</t>
  </si>
  <si>
    <t>Gi</t>
  </si>
  <si>
    <t>fi(x)=</t>
  </si>
  <si>
    <t>gi(x)=</t>
  </si>
  <si>
    <t>hi(x)=</t>
  </si>
  <si>
    <t>Aa</t>
  </si>
  <si>
    <t>Ca</t>
  </si>
  <si>
    <t>xi</t>
  </si>
  <si>
    <t>yi</t>
  </si>
  <si>
    <t>xa</t>
  </si>
  <si>
    <t>ya</t>
  </si>
  <si>
    <t>tanBeta i=</t>
  </si>
  <si>
    <t>tanAlpha i=</t>
  </si>
  <si>
    <t>tanGamma i=</t>
  </si>
  <si>
    <t>cosGamma i=</t>
  </si>
  <si>
    <t>sinGamma i=</t>
  </si>
  <si>
    <t>bi=</t>
  </si>
  <si>
    <t>tanGamma i*xi</t>
  </si>
  <si>
    <t>tanBeta i*xi+bi</t>
  </si>
  <si>
    <t>tanAlpha i*xi+ci</t>
  </si>
  <si>
    <t>Ba=Bi</t>
  </si>
  <si>
    <t>Fa=Ci</t>
  </si>
  <si>
    <t>Ea=Di</t>
  </si>
  <si>
    <t>Da=Ei</t>
  </si>
  <si>
    <t>Ga=Gi</t>
  </si>
  <si>
    <t>ba=</t>
  </si>
  <si>
    <t>ca=</t>
  </si>
  <si>
    <t>Versatz:</t>
  </si>
  <si>
    <t>1. Iterationsschritt Gleis Bogeninnenseite</t>
  </si>
  <si>
    <t>ci 1.=</t>
  </si>
  <si>
    <t>ci 2.=</t>
  </si>
  <si>
    <t>2. Iterationsschritt Gleis Bogeninnenseite</t>
  </si>
  <si>
    <t>In absoluten Koordinaten bezogen auf die Bogenaußenseite</t>
  </si>
  <si>
    <t>Ba</t>
  </si>
  <si>
    <t>Ea</t>
  </si>
  <si>
    <t>Ga</t>
  </si>
  <si>
    <t>Flächenberechnung 2-gleisig:</t>
  </si>
  <si>
    <t>Flächenberechnung 2-gleisig Bogeninnenseite:</t>
  </si>
  <si>
    <t>Flächenberechnung 2-gleisig Bogenaußenseite:</t>
  </si>
  <si>
    <t>Fa</t>
  </si>
  <si>
    <t>xa+1*ya</t>
  </si>
  <si>
    <t>xa*ya+1</t>
  </si>
  <si>
    <t>Summe</t>
  </si>
  <si>
    <t>Kontrolle</t>
  </si>
  <si>
    <t>Menge Gleisschotter gesamt</t>
  </si>
  <si>
    <t>Menge Gleisschotter Gleisinnenseite</t>
  </si>
  <si>
    <t>Menge Gleisschotter Gleisaußenseite</t>
  </si>
  <si>
    <t>Schwellenvolumen:</t>
  </si>
  <si>
    <t>Länge</t>
  </si>
  <si>
    <t>Volumen [m³/m]</t>
  </si>
  <si>
    <t>Flächenberechnung 2-gleisig ohne Abzug des Schwellenvolumens:</t>
  </si>
  <si>
    <t>Flächenberechnung 1-gleisig ohne Abzug des Schwellenvolumens:</t>
  </si>
  <si>
    <t>B93</t>
  </si>
  <si>
    <t>Volumen [l]</t>
  </si>
  <si>
    <t>B70, l=2,60m</t>
  </si>
  <si>
    <t>B70, l=2,40m</t>
  </si>
  <si>
    <t>Holz Gr. 1</t>
  </si>
  <si>
    <t>Holz Gr. 2</t>
  </si>
  <si>
    <t>Holz Gr. 4</t>
  </si>
  <si>
    <t>Holz Gr. 5</t>
  </si>
  <si>
    <t>Bettungsvolumen gesamt</t>
  </si>
  <si>
    <t>Bettungsvolumen Gleisinnenseite</t>
  </si>
  <si>
    <t>Bettungsvolumen Gleisaußenseite</t>
  </si>
  <si>
    <t>Hi</t>
  </si>
  <si>
    <t>b1=</t>
  </si>
  <si>
    <t>Kontrolle Hi:</t>
  </si>
  <si>
    <t>xi*yi+1</t>
  </si>
  <si>
    <t>xi+1*yi</t>
  </si>
  <si>
    <t>Summe:</t>
  </si>
  <si>
    <t>wenn untere Schiene in Bezug auf das Planum maßgebend</t>
  </si>
  <si>
    <t>Bedingung:</t>
  </si>
  <si>
    <t>Steigung Planum:</t>
  </si>
  <si>
    <t>Querneigung SO:</t>
  </si>
  <si>
    <t>d. h. u stärker geneigt als das Planum; ab etwa u&gt;80mm</t>
  </si>
  <si>
    <t>Ergebnis ist größtenteils identisch mit dem ersten Iterationsschritt für die 2-gleisige Berechnung:</t>
  </si>
  <si>
    <t>Bettungsquerschnitt gesamt ohne Schwelle</t>
  </si>
  <si>
    <t>Bettungsquerschnitt Gleisinnenseite o. Schw.</t>
  </si>
  <si>
    <t>Bettungsquerschnitt Gleisaußenseite o. Schw.</t>
  </si>
  <si>
    <t>Kontrolle Ea:</t>
  </si>
  <si>
    <t>wenn obere Schiene in Bezug auf das Planum maßgebend</t>
  </si>
  <si>
    <t>d. h. u schwächer geneigt als das Planum; ab etwa u&lt;80mm</t>
  </si>
  <si>
    <t>Auflockerungsfaktor</t>
  </si>
  <si>
    <t>b=</t>
  </si>
  <si>
    <t>Trogschwelle</t>
  </si>
  <si>
    <t>Gewicht [kg]</t>
  </si>
  <si>
    <t>YS,A=0,65m</t>
  </si>
  <si>
    <t>YS,A=0,60m</t>
  </si>
  <si>
    <t>(bei YS Länge Minus Abschrägung an Stirnseite)</t>
  </si>
  <si>
    <t>(bei YS ergibt sich der Schwellenabstand über A)</t>
  </si>
  <si>
    <t>xa [m]</t>
  </si>
  <si>
    <t>ya [m]</t>
  </si>
  <si>
    <t>xi [m]</t>
  </si>
  <si>
    <t>yi [m]</t>
  </si>
  <si>
    <t>Punktkoordinaten 2-gleisig:</t>
  </si>
  <si>
    <t>Punktkoordinaten 1-gleisig:</t>
  </si>
  <si>
    <t>Bemerkung:</t>
  </si>
  <si>
    <t>gelbe     unterlegten Felder sind Eingabefelder</t>
  </si>
  <si>
    <t>grau       unterlegten Felder sind nicht bearbeitbar und ergeben sich aus den gelben Feldern</t>
  </si>
  <si>
    <t>x Achse [m]</t>
  </si>
  <si>
    <t>y Achse [m]</t>
  </si>
  <si>
    <t>Bettungsquerschnittsberechnung - Querschnitt A</t>
  </si>
  <si>
    <t>Bettungsquerschnittsberechnung - Querschnitt B</t>
  </si>
  <si>
    <t>Zwischenrechnung für die abschließenden Transformation des Koordinatensystems als Verschiebung auf der y-Achse in Bezug auf die Gleisachse von der Schiene:</t>
  </si>
  <si>
    <t>delt y=</t>
  </si>
  <si>
    <t xml:space="preserve">Transformation auf die Achse </t>
  </si>
  <si>
    <t>Transformation auf die Achse</t>
  </si>
  <si>
    <t>Bedingung u&lt;75</t>
  </si>
  <si>
    <t>Bedingung u≥75mm</t>
  </si>
  <si>
    <t>Bedingung u&lt;75mm</t>
  </si>
  <si>
    <t>Schotterbettdicke</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</si>
</sst>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 numFmtId="167" formatCode="0.000000000"/>
    <numFmt numFmtId="168" formatCode="0.0000000000"/>
    <numFmt numFmtId="169" formatCode="0.00000000"/>
    <numFmt numFmtId="170" formatCode="0.0000000"/>
    <numFmt numFmtId="171" formatCode="0.000000"/>
    <numFmt numFmtId="172" formatCode="0.00000000000"/>
    <numFmt numFmtId="173" formatCode="0.000000000000"/>
    <numFmt numFmtId="174" formatCode="0.0"/>
    <numFmt numFmtId="175" formatCode="0.00\ &quot;m²&quot;"/>
    <numFmt numFmtId="176" formatCode="0.0\ &quot;m²&quot;"/>
    <numFmt numFmtId="177" formatCode="0.000\ &quot;m²&quot;"/>
    <numFmt numFmtId="178" formatCode="0.00\ &quot;2,3-2*0,165&quot;"/>
  </numFmts>
  <fonts count="11">
    <font>
      <sz val="10"/>
      <name val="Arial"/>
      <family val="0"/>
    </font>
    <font>
      <b/>
      <i/>
      <sz val="10"/>
      <name val="Arial"/>
      <family val="2"/>
    </font>
    <font>
      <b/>
      <sz val="12"/>
      <name val="Arial"/>
      <family val="2"/>
    </font>
    <font>
      <b/>
      <sz val="10"/>
      <name val="Arial"/>
      <family val="2"/>
    </font>
    <font>
      <b/>
      <i/>
      <u val="single"/>
      <sz val="12"/>
      <name val="Arial"/>
      <family val="2"/>
    </font>
    <font>
      <sz val="8"/>
      <name val="Arial"/>
      <family val="2"/>
    </font>
    <font>
      <sz val="6"/>
      <name val="Arial"/>
      <family val="2"/>
    </font>
    <font>
      <u val="single"/>
      <sz val="10"/>
      <name val="Arial"/>
      <family val="2"/>
    </font>
    <font>
      <sz val="6"/>
      <color indexed="10"/>
      <name val="Arial"/>
      <family val="2"/>
    </font>
    <font>
      <sz val="9.6"/>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164"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0" xfId="0" applyBorder="1" applyAlignment="1">
      <alignment horizontal="right"/>
    </xf>
    <xf numFmtId="0" fontId="0" fillId="2" borderId="0" xfId="0" applyFill="1" applyAlignment="1">
      <alignment/>
    </xf>
    <xf numFmtId="2" fontId="0" fillId="0" borderId="7" xfId="0" applyNumberFormat="1" applyBorder="1" applyAlignment="1">
      <alignment/>
    </xf>
    <xf numFmtId="2" fontId="0" fillId="0" borderId="0" xfId="0" applyNumberFormat="1" applyBorder="1" applyAlignment="1">
      <alignment/>
    </xf>
    <xf numFmtId="2" fontId="0" fillId="0" borderId="8" xfId="0" applyNumberFormat="1" applyBorder="1" applyAlignment="1">
      <alignment/>
    </xf>
    <xf numFmtId="0" fontId="0" fillId="0" borderId="0" xfId="0" applyFill="1" applyAlignment="1">
      <alignment/>
    </xf>
    <xf numFmtId="0" fontId="0" fillId="2" borderId="0" xfId="0" applyFill="1" applyAlignment="1">
      <alignment horizontal="center"/>
    </xf>
    <xf numFmtId="0" fontId="0" fillId="2" borderId="0" xfId="0" applyFill="1" applyAlignment="1">
      <alignment/>
    </xf>
    <xf numFmtId="164" fontId="0" fillId="2" borderId="0" xfId="0" applyNumberFormat="1" applyFill="1" applyAlignment="1">
      <alignment/>
    </xf>
    <xf numFmtId="164" fontId="0" fillId="0" borderId="0" xfId="0" applyNumberFormat="1" applyBorder="1" applyAlignment="1">
      <alignment/>
    </xf>
    <xf numFmtId="0" fontId="0" fillId="2" borderId="2" xfId="0" applyFill="1" applyBorder="1" applyAlignment="1">
      <alignment horizontal="center"/>
    </xf>
    <xf numFmtId="0" fontId="0" fillId="2" borderId="0" xfId="0" applyFill="1" applyBorder="1" applyAlignment="1">
      <alignment horizontal="center"/>
    </xf>
    <xf numFmtId="164" fontId="0" fillId="0" borderId="0" xfId="0" applyNumberFormat="1" applyBorder="1" applyAlignment="1">
      <alignment horizontal="right"/>
    </xf>
    <xf numFmtId="0" fontId="0" fillId="2" borderId="0" xfId="0" applyFill="1" applyBorder="1" applyAlignment="1">
      <alignment/>
    </xf>
    <xf numFmtId="0" fontId="3" fillId="2" borderId="2" xfId="0" applyFont="1" applyFill="1" applyBorder="1" applyAlignment="1">
      <alignment/>
    </xf>
    <xf numFmtId="2" fontId="0" fillId="0" borderId="3" xfId="0" applyNumberFormat="1" applyBorder="1" applyAlignment="1">
      <alignment/>
    </xf>
    <xf numFmtId="0" fontId="3" fillId="2" borderId="0" xfId="0" applyFont="1" applyFill="1" applyAlignment="1">
      <alignment/>
    </xf>
    <xf numFmtId="1" fontId="0" fillId="0" borderId="0" xfId="0" applyNumberFormat="1" applyAlignment="1">
      <alignment/>
    </xf>
    <xf numFmtId="166" fontId="0" fillId="0" borderId="0" xfId="0" applyNumberFormat="1" applyAlignment="1">
      <alignment/>
    </xf>
    <xf numFmtId="0" fontId="0" fillId="0" borderId="0" xfId="0" applyAlignment="1" applyProtection="1">
      <alignment/>
      <protection locked="0"/>
    </xf>
    <xf numFmtId="0" fontId="0" fillId="3" borderId="0" xfId="0" applyFill="1" applyAlignment="1" applyProtection="1">
      <alignment/>
      <protection locked="0"/>
    </xf>
    <xf numFmtId="0" fontId="0" fillId="3" borderId="0" xfId="0" applyFill="1" applyAlignment="1" applyProtection="1">
      <alignment horizontal="right"/>
      <protection locked="0"/>
    </xf>
    <xf numFmtId="2" fontId="0" fillId="3" borderId="0" xfId="0" applyNumberFormat="1" applyFill="1" applyAlignment="1" applyProtection="1">
      <alignment/>
      <protection locked="0"/>
    </xf>
    <xf numFmtId="2" fontId="0" fillId="0" borderId="0" xfId="0" applyNumberFormat="1" applyAlignment="1" applyProtection="1">
      <alignment/>
      <protection locked="0"/>
    </xf>
    <xf numFmtId="0" fontId="0" fillId="0" borderId="0" xfId="0" applyAlignment="1" applyProtection="1">
      <alignment/>
      <protection/>
    </xf>
    <xf numFmtId="0" fontId="0" fillId="2" borderId="9" xfId="0" applyFill="1" applyBorder="1" applyAlignment="1" applyProtection="1">
      <alignment/>
      <protection/>
    </xf>
    <xf numFmtId="0" fontId="0" fillId="2" borderId="10" xfId="0" applyFill="1" applyBorder="1" applyAlignment="1" applyProtection="1">
      <alignment/>
      <protection/>
    </xf>
    <xf numFmtId="0" fontId="0" fillId="2" borderId="10" xfId="0" applyFill="1" applyBorder="1" applyAlignment="1" applyProtection="1">
      <alignment horizontal="center"/>
      <protection/>
    </xf>
    <xf numFmtId="0" fontId="0" fillId="2" borderId="11" xfId="0" applyFill="1" applyBorder="1" applyAlignment="1" applyProtection="1">
      <alignment horizontal="center"/>
      <protection/>
    </xf>
    <xf numFmtId="0" fontId="0" fillId="2" borderId="12" xfId="0" applyFill="1" applyBorder="1" applyAlignment="1" applyProtection="1">
      <alignment horizontal="center"/>
      <protection/>
    </xf>
    <xf numFmtId="0" fontId="0" fillId="0" borderId="0" xfId="0" applyBorder="1" applyAlignment="1" applyProtection="1">
      <alignment/>
      <protection/>
    </xf>
    <xf numFmtId="164" fontId="0" fillId="0" borderId="0" xfId="0" applyNumberFormat="1" applyBorder="1" applyAlignment="1" applyProtection="1">
      <alignment/>
      <protection/>
    </xf>
    <xf numFmtId="164" fontId="0" fillId="0" borderId="13" xfId="0" applyNumberFormat="1" applyBorder="1" applyAlignment="1" applyProtection="1">
      <alignment/>
      <protection/>
    </xf>
    <xf numFmtId="0" fontId="0" fillId="2" borderId="14" xfId="0" applyFill="1" applyBorder="1" applyAlignment="1" applyProtection="1">
      <alignment horizontal="center"/>
      <protection/>
    </xf>
    <xf numFmtId="0" fontId="0" fillId="0" borderId="15" xfId="0" applyBorder="1" applyAlignment="1" applyProtection="1">
      <alignment/>
      <protection/>
    </xf>
    <xf numFmtId="164" fontId="0" fillId="0" borderId="15" xfId="0" applyNumberFormat="1" applyBorder="1" applyAlignment="1" applyProtection="1">
      <alignment/>
      <protection/>
    </xf>
    <xf numFmtId="164" fontId="0" fillId="0" borderId="16" xfId="0" applyNumberFormat="1" applyBorder="1" applyAlignment="1" applyProtection="1">
      <alignment/>
      <protection/>
    </xf>
    <xf numFmtId="0" fontId="0" fillId="0" borderId="0" xfId="0" applyFill="1" applyBorder="1" applyAlignment="1" applyProtection="1">
      <alignment horizontal="center"/>
      <protection/>
    </xf>
    <xf numFmtId="0" fontId="0" fillId="2" borderId="9" xfId="0" applyFill="1" applyBorder="1" applyAlignment="1" applyProtection="1">
      <alignment horizontal="center"/>
      <protection/>
    </xf>
    <xf numFmtId="0" fontId="4" fillId="2" borderId="5" xfId="0" applyFont="1" applyFill="1" applyBorder="1" applyAlignment="1" applyProtection="1">
      <alignment/>
      <protection/>
    </xf>
    <xf numFmtId="0" fontId="1" fillId="2" borderId="7" xfId="0" applyFont="1" applyFill="1" applyBorder="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164" fontId="1" fillId="2" borderId="0" xfId="0" applyNumberFormat="1" applyFont="1" applyFill="1" applyBorder="1" applyAlignment="1" applyProtection="1">
      <alignment/>
      <protection/>
    </xf>
    <xf numFmtId="0" fontId="1" fillId="2" borderId="6" xfId="0" applyFont="1" applyFill="1" applyBorder="1" applyAlignment="1" applyProtection="1">
      <alignment/>
      <protection/>
    </xf>
    <xf numFmtId="0" fontId="1" fillId="2" borderId="8" xfId="0" applyFont="1" applyFill="1" applyBorder="1" applyAlignment="1" applyProtection="1">
      <alignment/>
      <protection/>
    </xf>
    <xf numFmtId="0" fontId="1" fillId="2" borderId="4" xfId="0" applyFont="1" applyFill="1" applyBorder="1" applyAlignment="1" applyProtection="1">
      <alignment/>
      <protection/>
    </xf>
    <xf numFmtId="0" fontId="2" fillId="0" borderId="0" xfId="0" applyFont="1" applyAlignment="1" applyProtection="1">
      <alignment/>
      <protection/>
    </xf>
    <xf numFmtId="0" fontId="0" fillId="2" borderId="0" xfId="0" applyFill="1" applyAlignment="1" applyProtection="1">
      <alignment/>
      <protection/>
    </xf>
    <xf numFmtId="0" fontId="0" fillId="0" borderId="0" xfId="0" applyAlignment="1" applyProtection="1">
      <alignment horizontal="right"/>
      <protection/>
    </xf>
    <xf numFmtId="0" fontId="0" fillId="0" borderId="0" xfId="0" applyNumberFormat="1" applyAlignment="1" applyProtection="1">
      <alignment/>
      <protection/>
    </xf>
    <xf numFmtId="0" fontId="0" fillId="0" borderId="0" xfId="0" applyAlignment="1" applyProtection="1">
      <alignment horizontal="center"/>
      <protection/>
    </xf>
    <xf numFmtId="2" fontId="0" fillId="0" borderId="0" xfId="0" applyNumberFormat="1" applyAlignment="1" applyProtection="1">
      <alignment/>
      <protection/>
    </xf>
    <xf numFmtId="2" fontId="0" fillId="2" borderId="0" xfId="0" applyNumberFormat="1" applyFill="1" applyAlignment="1" applyProtection="1">
      <alignment/>
      <protection/>
    </xf>
    <xf numFmtId="0" fontId="5" fillId="0" borderId="0" xfId="0" applyFont="1" applyAlignment="1" applyProtection="1">
      <alignment/>
      <protection/>
    </xf>
    <xf numFmtId="2" fontId="0" fillId="0" borderId="0" xfId="0" applyNumberFormat="1" applyFill="1" applyAlignment="1" applyProtection="1">
      <alignment/>
      <protection/>
    </xf>
    <xf numFmtId="0" fontId="7" fillId="0" borderId="0" xfId="0" applyFont="1" applyAlignment="1" applyProtection="1">
      <alignment/>
      <protection/>
    </xf>
    <xf numFmtId="0" fontId="0" fillId="3" borderId="0" xfId="0" applyFill="1" applyAlignment="1" applyProtection="1">
      <alignment/>
      <protection/>
    </xf>
    <xf numFmtId="177" fontId="1" fillId="2" borderId="3" xfId="0" applyNumberFormat="1" applyFont="1" applyFill="1" applyBorder="1" applyAlignment="1" applyProtection="1">
      <alignment/>
      <protection/>
    </xf>
    <xf numFmtId="0" fontId="0" fillId="2" borderId="10" xfId="0" applyFill="1" applyBorder="1" applyAlignment="1" applyProtection="1">
      <alignment horizontal="right"/>
      <protection/>
    </xf>
    <xf numFmtId="0" fontId="0" fillId="0" borderId="12" xfId="0" applyBorder="1" applyAlignment="1" applyProtection="1">
      <alignment/>
      <protection/>
    </xf>
    <xf numFmtId="0" fontId="0" fillId="0" borderId="14" xfId="0" applyBorder="1" applyAlignment="1" applyProtection="1">
      <alignment/>
      <protection/>
    </xf>
    <xf numFmtId="0" fontId="0" fillId="2" borderId="10" xfId="0" applyFill="1" applyBorder="1" applyAlignment="1" applyProtection="1">
      <alignment horizontal="left"/>
      <protection/>
    </xf>
    <xf numFmtId="0" fontId="6" fillId="0" borderId="0" xfId="0" applyFont="1" applyBorder="1" applyAlignment="1" applyProtection="1">
      <alignment wrapText="1"/>
      <protection/>
    </xf>
    <xf numFmtId="0" fontId="6" fillId="0" borderId="0" xfId="0" applyFont="1"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164" fontId="0" fillId="0" borderId="0" xfId="0" applyNumberFormat="1" applyAlignment="1" applyProtection="1">
      <alignment/>
      <protection/>
    </xf>
    <xf numFmtId="0" fontId="0" fillId="0" borderId="0" xfId="0" applyFill="1" applyAlignment="1" applyProtection="1">
      <alignment/>
      <protection/>
    </xf>
    <xf numFmtId="0" fontId="3" fillId="2" borderId="2" xfId="0" applyFont="1" applyFill="1" applyBorder="1" applyAlignment="1" applyProtection="1">
      <alignment/>
      <protection/>
    </xf>
    <xf numFmtId="0" fontId="0" fillId="2" borderId="0" xfId="0" applyFill="1" applyBorder="1" applyAlignment="1" applyProtection="1">
      <alignment/>
      <protection/>
    </xf>
    <xf numFmtId="0" fontId="0" fillId="0" borderId="5" xfId="0" applyBorder="1" applyAlignment="1" applyProtection="1">
      <alignment horizontal="right"/>
      <protection/>
    </xf>
    <xf numFmtId="2" fontId="0" fillId="0" borderId="7" xfId="0" applyNumberFormat="1"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horizontal="right"/>
      <protection/>
    </xf>
    <xf numFmtId="2" fontId="0" fillId="0" borderId="0" xfId="0" applyNumberFormat="1" applyBorder="1" applyAlignment="1" applyProtection="1">
      <alignment/>
      <protection/>
    </xf>
    <xf numFmtId="0" fontId="0" fillId="0" borderId="0" xfId="0" applyBorder="1" applyAlignment="1" applyProtection="1">
      <alignment horizontal="right"/>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0" fillId="2" borderId="0" xfId="0" applyFill="1" applyAlignment="1" applyProtection="1">
      <alignment horizontal="center"/>
      <protection/>
    </xf>
    <xf numFmtId="164" fontId="0" fillId="0" borderId="0" xfId="0" applyNumberFormat="1" applyBorder="1" applyAlignment="1" applyProtection="1">
      <alignment horizontal="right"/>
      <protection/>
    </xf>
    <xf numFmtId="0" fontId="0" fillId="0" borderId="6" xfId="0" applyBorder="1" applyAlignment="1" applyProtection="1">
      <alignment horizontal="right"/>
      <protection/>
    </xf>
    <xf numFmtId="2" fontId="0" fillId="0" borderId="8" xfId="0" applyNumberFormat="1" applyBorder="1" applyAlignment="1" applyProtection="1">
      <alignment/>
      <protection/>
    </xf>
    <xf numFmtId="0" fontId="0" fillId="0" borderId="4" xfId="0" applyBorder="1" applyAlignment="1" applyProtection="1">
      <alignment/>
      <protection/>
    </xf>
    <xf numFmtId="164" fontId="0" fillId="2" borderId="0" xfId="0" applyNumberFormat="1" applyFill="1" applyAlignment="1" applyProtection="1">
      <alignment/>
      <protection/>
    </xf>
    <xf numFmtId="0" fontId="3" fillId="2" borderId="0" xfId="0" applyFont="1" applyFill="1" applyAlignment="1" applyProtection="1">
      <alignment/>
      <protection/>
    </xf>
    <xf numFmtId="0" fontId="0" fillId="2" borderId="0" xfId="0" applyFill="1" applyAlignment="1" applyProtection="1">
      <alignment/>
      <protection/>
    </xf>
    <xf numFmtId="0" fontId="0" fillId="2" borderId="11" xfId="0" applyFill="1" applyBorder="1" applyAlignment="1" applyProtection="1">
      <alignment horizontal="left"/>
      <protection/>
    </xf>
    <xf numFmtId="0" fontId="0" fillId="0" borderId="13" xfId="0" applyBorder="1" applyAlignment="1" applyProtection="1">
      <alignment/>
      <protection/>
    </xf>
    <xf numFmtId="178" fontId="0" fillId="0" borderId="8" xfId="0" applyNumberFormat="1" applyBorder="1" applyAlignment="1" applyProtection="1">
      <alignment/>
      <protection/>
    </xf>
    <xf numFmtId="164" fontId="0" fillId="2" borderId="0" xfId="0" applyNumberFormat="1" applyFill="1" applyBorder="1" applyAlignment="1" applyProtection="1">
      <alignment/>
      <protection/>
    </xf>
    <xf numFmtId="0" fontId="0" fillId="0" borderId="5" xfId="0" applyBorder="1" applyAlignment="1" applyProtection="1">
      <alignment/>
      <protection/>
    </xf>
    <xf numFmtId="0" fontId="0" fillId="0" borderId="16" xfId="0" applyBorder="1" applyAlignment="1" applyProtection="1">
      <alignment/>
      <protection/>
    </xf>
    <xf numFmtId="0" fontId="0" fillId="0" borderId="6" xfId="0" applyBorder="1" applyAlignment="1" applyProtection="1">
      <alignment/>
      <protection/>
    </xf>
    <xf numFmtId="0" fontId="0" fillId="0" borderId="8" xfId="0" applyBorder="1" applyAlignment="1" applyProtection="1">
      <alignment/>
      <protection/>
    </xf>
    <xf numFmtId="0" fontId="0" fillId="2" borderId="11" xfId="0" applyFill="1" applyBorder="1" applyAlignment="1" applyProtection="1">
      <alignment/>
      <protection/>
    </xf>
    <xf numFmtId="1" fontId="0" fillId="0" borderId="0" xfId="0" applyNumberFormat="1" applyAlignment="1" applyProtection="1">
      <alignment/>
      <protection/>
    </xf>
    <xf numFmtId="2" fontId="0" fillId="0" borderId="3" xfId="0" applyNumberFormat="1" applyBorder="1" applyAlignment="1" applyProtection="1">
      <alignment/>
      <protection/>
    </xf>
    <xf numFmtId="14" fontId="0" fillId="0" borderId="0" xfId="0" applyNumberFormat="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24275"/>
          <c:w val="0.99075"/>
          <c:h val="0.229"/>
        </c:manualLayout>
      </c:layout>
      <c:scatterChart>
        <c:scatterStyle val="smoothMarker"/>
        <c:varyColors val="0"/>
        <c:ser>
          <c:idx val="0"/>
          <c:order val="0"/>
          <c:tx>
            <c:strRef>
              <c:f>BettungsquerschnittA!$A$4</c:f>
              <c:strCache>
                <c:ptCount val="1"/>
                <c:pt idx="0">
                  <c:v>Bettungsquerschnittsberechnung - Querschnitt 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dLbls>
            <c:dLbl>
              <c:idx val="1"/>
              <c:delete val="1"/>
            </c:dLbl>
            <c:numFmt formatCode="0.00" sourceLinked="0"/>
            <c:txPr>
              <a:bodyPr vert="horz" rot="0" anchor="ctr"/>
              <a:lstStyle/>
              <a:p>
                <a:pPr algn="ctr">
                  <a:defRPr lang="en-US" cap="none" sz="600" b="0" i="0" u="none" baseline="0">
                    <a:solidFill>
                      <a:srgbClr val="FF0000"/>
                    </a:solidFill>
                    <a:latin typeface="Arial"/>
                    <a:ea typeface="Arial"/>
                    <a:cs typeface="Arial"/>
                  </a:defRPr>
                </a:pPr>
              </a:p>
            </c:txPr>
            <c:showLegendKey val="0"/>
            <c:showVal val="0"/>
            <c:showBubbleSize val="0"/>
            <c:showCatName val="1"/>
            <c:showSerName val="0"/>
            <c:showPercent val="0"/>
          </c:dLbls>
          <c:xVal>
            <c:numRef>
              <c:f>BettungsquerschnittA!$N$40:$N$47</c:f>
              <c:numCache>
                <c:ptCount val="8"/>
                <c:pt idx="0">
                  <c:v>0.5554617917230517</c:v>
                </c:pt>
                <c:pt idx="1">
                  <c:v>3.9445175876058864</c:v>
                </c:pt>
                <c:pt idx="2">
                  <c:v>5.055468249245212</c:v>
                </c:pt>
                <c:pt idx="3">
                  <c:v>0</c:v>
                </c:pt>
                <c:pt idx="4">
                  <c:v>-4.692047906500919</c:v>
                </c:pt>
                <c:pt idx="5">
                  <c:v>-3.9445382082769482</c:v>
                </c:pt>
                <c:pt idx="6">
                  <c:v>-0.5554824123941136</c:v>
                </c:pt>
                <c:pt idx="7">
                  <c:v>0.5554617917230517</c:v>
                </c:pt>
              </c:numCache>
            </c:numRef>
          </c:xVal>
          <c:yVal>
            <c:numRef>
              <c:f>BettungsquerschnittA!$O$40:$O$47</c:f>
              <c:numCache>
                <c:ptCount val="8"/>
                <c:pt idx="0">
                  <c:v>0.36340536325413053</c:v>
                </c:pt>
                <c:pt idx="1">
                  <c:v>0.6359871168492005</c:v>
                </c:pt>
                <c:pt idx="2">
                  <c:v>-0.25277341246226037</c:v>
                </c:pt>
                <c:pt idx="3">
                  <c:v>0</c:v>
                </c:pt>
                <c:pt idx="4">
                  <c:v>-0.2346023953250459</c:v>
                </c:pt>
                <c:pt idx="5">
                  <c:v>0.36340536325413053</c:v>
                </c:pt>
                <c:pt idx="6">
                  <c:v>0.6359871168492005</c:v>
                </c:pt>
                <c:pt idx="7">
                  <c:v>0.36340536325413053</c:v>
                </c:pt>
              </c:numCache>
            </c:numRef>
          </c:yVal>
          <c:smooth val="1"/>
        </c:ser>
        <c:ser>
          <c:idx val="1"/>
          <c:order val="1"/>
          <c:tx>
            <c:strRef>
              <c:f>BettungsquerschnittB!$A$4</c:f>
              <c:strCache>
                <c:ptCount val="1"/>
                <c:pt idx="0">
                  <c:v>Bettungsquerschnittsberechnung - Querschnitt B</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dLbls>
            <c:dLbl>
              <c:idx val="7"/>
              <c:txPr>
                <a:bodyPr vert="horz" rot="0" anchor="ctr"/>
                <a:lstStyle/>
                <a:p>
                  <a:pPr algn="ctr">
                    <a:defRPr lang="en-US" cap="none" sz="600" b="0" i="0" u="none" baseline="0">
                      <a:solidFill>
                        <a:srgbClr val="0000FF"/>
                      </a:solidFill>
                      <a:latin typeface="Arial"/>
                      <a:ea typeface="Arial"/>
                      <a:cs typeface="Arial"/>
                    </a:defRPr>
                  </a:pPr>
                </a:p>
              </c:txPr>
              <c:numFmt formatCode="0.00" sourceLinked="0"/>
              <c:dLblPos val="l"/>
              <c:showLegendKey val="0"/>
              <c:showVal val="0"/>
              <c:showBubbleSize val="0"/>
              <c:showCatName val="1"/>
              <c:showSerName val="0"/>
              <c:showPercent val="0"/>
            </c:dLbl>
            <c:numFmt formatCode="0.00" sourceLinked="0"/>
            <c:txPr>
              <a:bodyPr vert="horz" rot="0" anchor="ctr"/>
              <a:lstStyle/>
              <a:p>
                <a:pPr algn="ctr">
                  <a:defRPr lang="en-US" cap="none" sz="600" b="0" i="0" u="none" baseline="0">
                    <a:solidFill>
                      <a:srgbClr val="0000FF"/>
                    </a:solidFill>
                    <a:latin typeface="Arial"/>
                    <a:ea typeface="Arial"/>
                    <a:cs typeface="Arial"/>
                  </a:defRPr>
                </a:pPr>
              </a:p>
            </c:txPr>
            <c:dLblPos val="l"/>
            <c:showLegendKey val="0"/>
            <c:showVal val="0"/>
            <c:showBubbleSize val="0"/>
            <c:showCatName val="1"/>
            <c:showSerName val="0"/>
            <c:showPercent val="0"/>
          </c:dLbls>
          <c:xVal>
            <c:numRef>
              <c:f>BettungsquerschnittB!$N$40:$N$47</c:f>
              <c:numCache>
                <c:ptCount val="8"/>
                <c:pt idx="0">
                  <c:v>1.2999999999999998</c:v>
                </c:pt>
                <c:pt idx="1">
                  <c:v>4.699999999999999</c:v>
                </c:pt>
                <c:pt idx="2">
                  <c:v>5.813243243243242</c:v>
                </c:pt>
                <c:pt idx="3">
                  <c:v>0</c:v>
                </c:pt>
                <c:pt idx="4">
                  <c:v>-5.813243243243244</c:v>
                </c:pt>
                <c:pt idx="5">
                  <c:v>-4.7</c:v>
                </c:pt>
                <c:pt idx="6">
                  <c:v>-1.3000000000000003</c:v>
                </c:pt>
                <c:pt idx="7">
                  <c:v>1.2999999999999998</c:v>
                </c:pt>
              </c:numCache>
            </c:numRef>
          </c:xVal>
          <c:yVal>
            <c:numRef>
              <c:f>BettungsquerschnittB!$O$40:$O$47</c:f>
              <c:numCache>
                <c:ptCount val="8"/>
                <c:pt idx="0">
                  <c:v>0.45149999999999996</c:v>
                </c:pt>
                <c:pt idx="1">
                  <c:v>0.45149999999999996</c:v>
                </c:pt>
                <c:pt idx="2">
                  <c:v>-0.2906621621621622</c:v>
                </c:pt>
                <c:pt idx="3">
                  <c:v>0</c:v>
                </c:pt>
                <c:pt idx="4">
                  <c:v>-0.2906621621621623</c:v>
                </c:pt>
                <c:pt idx="5">
                  <c:v>0.45149999999999996</c:v>
                </c:pt>
                <c:pt idx="6">
                  <c:v>0.45149999999999996</c:v>
                </c:pt>
                <c:pt idx="7">
                  <c:v>0.45149999999999996</c:v>
                </c:pt>
              </c:numCache>
            </c:numRef>
          </c:yVal>
          <c:smooth val="1"/>
        </c:ser>
        <c:ser>
          <c:idx val="2"/>
          <c:order val="2"/>
          <c:tx>
            <c:strRef>
              <c:f>BettungsquerschnittA!$N$33</c:f>
              <c:strCache>
                <c:ptCount val="1"/>
                <c:pt idx="0">
                  <c:v>7,268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3"/>
          <c:order val="3"/>
          <c:tx>
            <c:strRef>
              <c:f>BettungsquerschnittB!$N$33</c:f>
              <c:strCache>
                <c:ptCount val="1"/>
                <c:pt idx="0">
                  <c:v>9,459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0"/>
            <c:showPercent val="0"/>
          </c:dLbls>
          <c:yVal>
            <c:numLit>
              <c:ptCount val="1"/>
              <c:pt idx="0">
                <c:v>0</c:v>
              </c:pt>
            </c:numLit>
          </c:yVal>
          <c:smooth val="1"/>
        </c:ser>
        <c:ser>
          <c:idx val="4"/>
          <c:order val="4"/>
          <c:tx>
            <c:strRef>
              <c:f>BettungsquerschnittA!$C$11</c:f>
              <c:strCache>
                <c:ptCount val="1"/>
                <c:pt idx="0">
                  <c:v>B70, l=2,60m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5"/>
          <c:order val="5"/>
          <c:tx>
            <c:strRef>
              <c:f>BettungsquerschnittB!$C$11</c:f>
              <c:strCache>
                <c:ptCount val="1"/>
                <c:pt idx="0">
                  <c:v>B70, l=2,60m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6"/>
          <c:order val="6"/>
          <c:tx>
            <c:strRef>
              <c:f>BettungsquerschnittA!$C$31</c:f>
              <c:strCache>
                <c:ptCount val="1"/>
                <c:pt idx="0">
                  <c:v>4,50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7"/>
          <c:order val="7"/>
          <c:tx>
            <c:strRef>
              <c:f>BettungsquerschnittB!$C$31</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8"/>
          <c:order val="8"/>
          <c:tx>
            <c:strRef>
              <c:f>BettungsquerschnittA!$C$23</c:f>
              <c:strCache>
                <c:ptCount val="1"/>
                <c:pt idx="0">
                  <c:v>0,30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9"/>
          <c:order val="9"/>
          <c:tx>
            <c:strRef>
              <c:f>BettungsquerschnittB!$C$23</c:f>
              <c:strCache>
                <c:ptCount val="1"/>
                <c:pt idx="0">
                  <c:v>0,35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0"/>
          <c:order val="10"/>
          <c:tx>
            <c:strRef>
              <c:f>BettungsquerschnittA!$C$35</c:f>
              <c:strCache>
                <c:ptCount val="1"/>
                <c:pt idx="0">
                  <c:v>120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1"/>
          <c:order val="11"/>
          <c:tx>
            <c:strRef>
              <c:f>BettungsquerschnittB!$C$35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2"/>
          <c:order val="12"/>
          <c:tx>
            <c:strRef>
              <c:f>BettungsquerschnittA!$C$19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3"/>
          <c:order val="13"/>
          <c:tx>
            <c:strRef>
              <c:f>BettungsquerschnittB!$C$19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4"/>
          <c:order val="14"/>
          <c:tx>
            <c:strRef>
              <c:f>BettungsquerschnittA!$N$9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5"/>
          <c:order val="15"/>
          <c:tx>
            <c:strRef>
              <c:f>BettungsquerschnittB!$N$9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axId val="55947693"/>
        <c:axId val="33767190"/>
      </c:scatterChart>
      <c:valAx>
        <c:axId val="55947693"/>
        <c:scaling>
          <c:orientation val="minMax"/>
          <c:max val="6"/>
          <c:min val="-6"/>
        </c:scaling>
        <c:axPos val="b"/>
        <c:majorGridlines>
          <c:spPr>
            <a:ln w="3175">
              <a:solidFill/>
              <a:prstDash val="lgDashDotDot"/>
            </a:ln>
          </c:spPr>
        </c:majorGridlines>
        <c:delete val="0"/>
        <c:numFmt formatCode="0.00" sourceLinked="0"/>
        <c:majorTickMark val="out"/>
        <c:minorTickMark val="none"/>
        <c:tickLblPos val="nextTo"/>
        <c:txPr>
          <a:bodyPr/>
          <a:lstStyle/>
          <a:p>
            <a:pPr>
              <a:defRPr lang="en-US" cap="none" sz="600" b="0" i="0" u="none" baseline="0">
                <a:latin typeface="Arial"/>
                <a:ea typeface="Arial"/>
                <a:cs typeface="Arial"/>
              </a:defRPr>
            </a:pPr>
          </a:p>
        </c:txPr>
        <c:crossAx val="33767190"/>
        <c:crosses val="max"/>
        <c:crossBetween val="midCat"/>
        <c:dispUnits/>
      </c:valAx>
      <c:valAx>
        <c:axId val="33767190"/>
        <c:scaling>
          <c:orientation val="minMax"/>
          <c:max val="0.8"/>
          <c:min val="-0.6"/>
        </c:scaling>
        <c:axPos val="l"/>
        <c:majorGridlines/>
        <c:delete val="0"/>
        <c:numFmt formatCode="0.00" sourceLinked="0"/>
        <c:majorTickMark val="out"/>
        <c:minorTickMark val="none"/>
        <c:tickLblPos val="high"/>
        <c:txPr>
          <a:bodyPr/>
          <a:lstStyle/>
          <a:p>
            <a:pPr>
              <a:defRPr lang="en-US" cap="none" sz="600" b="0" i="0" u="none" baseline="0">
                <a:latin typeface="Arial"/>
                <a:ea typeface="Arial"/>
                <a:cs typeface="Arial"/>
              </a:defRPr>
            </a:pPr>
          </a:p>
        </c:txPr>
        <c:crossAx val="55947693"/>
        <c:crosses val="max"/>
        <c:crossBetween val="midCat"/>
        <c:dispUnits/>
        <c:majorUnit val="0.2"/>
        <c:minorUnit val="0.04"/>
      </c:valAx>
      <c:spPr>
        <a:solidFill>
          <a:srgbClr val="C0C0C0"/>
        </a:solidFill>
        <a:ln w="12700">
          <a:solidFill>
            <a:srgbClr val="808080"/>
          </a:solidFill>
        </a:ln>
      </c:spPr>
    </c:plotArea>
    <c:legend>
      <c:legendPos val="b"/>
      <c:layout>
        <c:manualLayout>
          <c:xMode val="edge"/>
          <c:yMode val="edge"/>
          <c:x val="0.01875"/>
          <c:y val="0.6045"/>
          <c:w val="0.951"/>
          <c:h val="0.18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24275"/>
          <c:w val="0.99075"/>
          <c:h val="0.26925"/>
        </c:manualLayout>
      </c:layout>
      <c:scatterChart>
        <c:scatterStyle val="smoothMarker"/>
        <c:varyColors val="0"/>
        <c:ser>
          <c:idx val="0"/>
          <c:order val="0"/>
          <c:tx>
            <c:strRef>
              <c:f>BettungsquerschnittA!$A$4</c:f>
              <c:strCache>
                <c:ptCount val="1"/>
                <c:pt idx="0">
                  <c:v>Bettungsquerschnittsberechnung - Querschnitt 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dLbls>
            <c:dLbl>
              <c:idx val="1"/>
              <c:txPr>
                <a:bodyPr vert="horz" rot="0" anchor="ctr"/>
                <a:lstStyle/>
                <a:p>
                  <a:pPr algn="ctr">
                    <a:defRPr lang="en-US" cap="none" sz="600" b="0" i="0" u="none" baseline="0">
                      <a:solidFill>
                        <a:srgbClr val="FF0000"/>
                      </a:solidFill>
                      <a:latin typeface="Arial"/>
                      <a:ea typeface="Arial"/>
                      <a:cs typeface="Arial"/>
                    </a:defRPr>
                  </a:pPr>
                </a:p>
              </c:txPr>
              <c:numFmt formatCode="0.00" sourceLinked="0"/>
              <c:showLegendKey val="0"/>
              <c:showVal val="0"/>
              <c:showBubbleSize val="0"/>
              <c:showCatName val="1"/>
              <c:showSerName val="0"/>
              <c:showPercent val="0"/>
            </c:dLbl>
            <c:numFmt formatCode="0.00" sourceLinked="0"/>
            <c:txPr>
              <a:bodyPr vert="horz" rot="0" anchor="ctr"/>
              <a:lstStyle/>
              <a:p>
                <a:pPr algn="ctr">
                  <a:defRPr lang="en-US" cap="none" sz="600" b="0" i="0" u="none" baseline="0">
                    <a:solidFill>
                      <a:srgbClr val="FF0000"/>
                    </a:solidFill>
                    <a:latin typeface="Arial"/>
                    <a:ea typeface="Arial"/>
                    <a:cs typeface="Arial"/>
                  </a:defRPr>
                </a:pPr>
              </a:p>
            </c:txPr>
            <c:showLegendKey val="0"/>
            <c:showVal val="0"/>
            <c:showBubbleSize val="0"/>
            <c:showCatName val="1"/>
            <c:showSerName val="0"/>
            <c:showPercent val="0"/>
          </c:dLbls>
          <c:xVal>
            <c:strRef>
              <c:f>BettungsquerschnittA!$N$50:$N$56</c:f>
              <c:strCache>
                <c:ptCount val="7"/>
                <c:pt idx="0">
                  <c:v>2-gleisig</c:v>
                </c:pt>
                <c:pt idx="1">
                  <c:v>2-gleisig</c:v>
                </c:pt>
                <c:pt idx="2">
                  <c:v>2-gleisig</c:v>
                </c:pt>
                <c:pt idx="3">
                  <c:v>2-gleisig</c:v>
                </c:pt>
                <c:pt idx="4">
                  <c:v>2-gleisig</c:v>
                </c:pt>
                <c:pt idx="5">
                  <c:v>2-gleisig</c:v>
                </c:pt>
                <c:pt idx="6">
                  <c:v>2-gleisig</c:v>
                </c:pt>
              </c:strCache>
            </c:strRef>
          </c:xVal>
          <c:yVal>
            <c:numRef>
              <c:f>BettungsquerschnittA!$O$50:$O$56</c:f>
              <c:numCache>
                <c:ptCount val="7"/>
                <c:pt idx="0">
                  <c:v>0</c:v>
                </c:pt>
                <c:pt idx="1">
                  <c:v>0</c:v>
                </c:pt>
                <c:pt idx="2">
                  <c:v>0</c:v>
                </c:pt>
                <c:pt idx="3">
                  <c:v>0</c:v>
                </c:pt>
                <c:pt idx="4">
                  <c:v>0</c:v>
                </c:pt>
                <c:pt idx="5">
                  <c:v>0</c:v>
                </c:pt>
                <c:pt idx="6">
                  <c:v>0</c:v>
                </c:pt>
              </c:numCache>
            </c:numRef>
          </c:yVal>
          <c:smooth val="1"/>
        </c:ser>
        <c:ser>
          <c:idx val="1"/>
          <c:order val="1"/>
          <c:tx>
            <c:strRef>
              <c:f>BettungsquerschnittB!$A$4</c:f>
              <c:strCache>
                <c:ptCount val="1"/>
                <c:pt idx="0">
                  <c:v>Bettungsquerschnittsberechnung - Querschnitt B</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dLbls>
            <c:dLbl>
              <c:idx val="7"/>
              <c:txPr>
                <a:bodyPr vert="horz" rot="0" anchor="ctr"/>
                <a:lstStyle/>
                <a:p>
                  <a:pPr algn="ctr">
                    <a:defRPr lang="en-US" cap="none" sz="600" b="0" i="0" u="none" baseline="0">
                      <a:solidFill>
                        <a:srgbClr val="0000FF"/>
                      </a:solidFill>
                      <a:latin typeface="Arial"/>
                      <a:ea typeface="Arial"/>
                      <a:cs typeface="Arial"/>
                    </a:defRPr>
                  </a:pPr>
                </a:p>
              </c:txPr>
              <c:numFmt formatCode="0.00" sourceLinked="0"/>
              <c:dLblPos val="l"/>
              <c:showLegendKey val="0"/>
              <c:showVal val="0"/>
              <c:showBubbleSize val="0"/>
              <c:showCatName val="1"/>
              <c:showSerName val="0"/>
              <c:showPercent val="0"/>
            </c:dLbl>
            <c:numFmt formatCode="0.00" sourceLinked="0"/>
            <c:txPr>
              <a:bodyPr vert="horz" rot="0" anchor="ctr"/>
              <a:lstStyle/>
              <a:p>
                <a:pPr algn="ctr">
                  <a:defRPr lang="en-US" cap="none" sz="600" b="0" i="0" u="none" baseline="0">
                    <a:solidFill>
                      <a:srgbClr val="0000FF"/>
                    </a:solidFill>
                    <a:latin typeface="Arial"/>
                    <a:ea typeface="Arial"/>
                    <a:cs typeface="Arial"/>
                  </a:defRPr>
                </a:pPr>
              </a:p>
            </c:txPr>
            <c:dLblPos val="l"/>
            <c:showLegendKey val="0"/>
            <c:showVal val="0"/>
            <c:showBubbleSize val="0"/>
            <c:showCatName val="1"/>
            <c:showSerName val="0"/>
            <c:showPercent val="0"/>
          </c:dLbls>
          <c:xVal>
            <c:strRef>
              <c:f>BettungsquerschnittB!$N$50:$N$56</c:f>
              <c:strCache>
                <c:ptCount val="7"/>
                <c:pt idx="0">
                  <c:v>2-gleisig</c:v>
                </c:pt>
                <c:pt idx="1">
                  <c:v>2-gleisig</c:v>
                </c:pt>
                <c:pt idx="2">
                  <c:v>2-gleisig</c:v>
                </c:pt>
                <c:pt idx="3">
                  <c:v>2-gleisig</c:v>
                </c:pt>
                <c:pt idx="4">
                  <c:v>2-gleisig</c:v>
                </c:pt>
                <c:pt idx="5">
                  <c:v>2-gleisig</c:v>
                </c:pt>
                <c:pt idx="6">
                  <c:v>2-gleisig</c:v>
                </c:pt>
              </c:strCache>
            </c:strRef>
          </c:xVal>
          <c:yVal>
            <c:numRef>
              <c:f>BettungsquerschnittB!$O$50:$O$56</c:f>
              <c:numCache>
                <c:ptCount val="7"/>
                <c:pt idx="0">
                  <c:v>0</c:v>
                </c:pt>
                <c:pt idx="1">
                  <c:v>0</c:v>
                </c:pt>
                <c:pt idx="2">
                  <c:v>0</c:v>
                </c:pt>
                <c:pt idx="3">
                  <c:v>0</c:v>
                </c:pt>
                <c:pt idx="4">
                  <c:v>0</c:v>
                </c:pt>
                <c:pt idx="5">
                  <c:v>0</c:v>
                </c:pt>
                <c:pt idx="6">
                  <c:v>0</c:v>
                </c:pt>
              </c:numCache>
            </c:numRef>
          </c:yVal>
          <c:smooth val="1"/>
        </c:ser>
        <c:ser>
          <c:idx val="2"/>
          <c:order val="2"/>
          <c:tx>
            <c:strRef>
              <c:f>BettungsquerschnittA!$N$33</c:f>
              <c:strCache>
                <c:ptCount val="1"/>
                <c:pt idx="0">
                  <c:v>6,928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3"/>
          <c:order val="3"/>
          <c:tx>
            <c:strRef>
              <c:f>BettungsquerschnittB!$N$33</c:f>
              <c:strCache>
                <c:ptCount val="1"/>
                <c:pt idx="0">
                  <c:v>9,459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0"/>
            <c:showPercent val="0"/>
          </c:dLbls>
          <c:yVal>
            <c:numLit>
              <c:ptCount val="1"/>
              <c:pt idx="0">
                <c:v>0</c:v>
              </c:pt>
            </c:numLit>
          </c:yVal>
          <c:smooth val="1"/>
        </c:ser>
        <c:ser>
          <c:idx val="4"/>
          <c:order val="4"/>
          <c:tx>
            <c:strRef>
              <c:f>BettungsquerschnittA!$C$11</c:f>
              <c:strCache>
                <c:ptCount val="1"/>
                <c:pt idx="0">
                  <c:v>B70, l=2,40m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5"/>
          <c:order val="5"/>
          <c:tx>
            <c:strRef>
              <c:f>BettungsquerschnittB!$C$11</c:f>
              <c:strCache>
                <c:ptCount val="1"/>
                <c:pt idx="0">
                  <c:v>B70, l=2,60m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6"/>
          <c:order val="6"/>
          <c:tx>
            <c:strRef>
              <c:f>BettungsquerschnittA!$C$31</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7"/>
          <c:order val="7"/>
          <c:tx>
            <c:strRef>
              <c:f>BettungsquerschnittB!$C$31</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8"/>
          <c:order val="8"/>
          <c:tx>
            <c:strRef>
              <c:f>BettungsquerschnittA!$C$23</c:f>
              <c:strCache>
                <c:ptCount val="1"/>
                <c:pt idx="0">
                  <c:v>0,30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9"/>
          <c:order val="9"/>
          <c:tx>
            <c:strRef>
              <c:f>BettungsquerschnittB!$C$23</c:f>
              <c:strCache>
                <c:ptCount val="1"/>
                <c:pt idx="0">
                  <c:v>0,35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0"/>
          <c:order val="10"/>
          <c:tx>
            <c:strRef>
              <c:f>BettungsquerschnittA!$C$35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1"/>
          <c:order val="11"/>
          <c:tx>
            <c:strRef>
              <c:f>BettungsquerschnittB!$C$35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2"/>
          <c:order val="12"/>
          <c:tx>
            <c:strRef>
              <c:f>BettungsquerschnittA!$C$19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3"/>
          <c:order val="13"/>
          <c:tx>
            <c:strRef>
              <c:f>BettungsquerschnittB!$C$19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4"/>
          <c:order val="14"/>
          <c:tx>
            <c:strRef>
              <c:f>BettungsquerschnittA!$N$9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5"/>
          <c:order val="15"/>
          <c:tx>
            <c:strRef>
              <c:f>BettungsquerschnittB!$N$9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axId val="35469255"/>
        <c:axId val="50787840"/>
      </c:scatterChart>
      <c:valAx>
        <c:axId val="35469255"/>
        <c:scaling>
          <c:orientation val="minMax"/>
          <c:max val="4"/>
          <c:min val="-4"/>
        </c:scaling>
        <c:axPos val="b"/>
        <c:majorGridlines>
          <c:spPr>
            <a:ln w="3175">
              <a:solidFill/>
              <a:prstDash val="lgDashDotDot"/>
            </a:ln>
          </c:spPr>
        </c:majorGridlines>
        <c:delete val="0"/>
        <c:numFmt formatCode="0.00" sourceLinked="0"/>
        <c:majorTickMark val="out"/>
        <c:minorTickMark val="none"/>
        <c:tickLblPos val="nextTo"/>
        <c:txPr>
          <a:bodyPr/>
          <a:lstStyle/>
          <a:p>
            <a:pPr>
              <a:defRPr lang="en-US" cap="none" sz="600" b="0" i="0" u="none" baseline="0">
                <a:latin typeface="Arial"/>
                <a:ea typeface="Arial"/>
                <a:cs typeface="Arial"/>
              </a:defRPr>
            </a:pPr>
          </a:p>
        </c:txPr>
        <c:crossAx val="50787840"/>
        <c:crosses val="max"/>
        <c:crossBetween val="midCat"/>
        <c:dispUnits/>
      </c:valAx>
      <c:valAx>
        <c:axId val="50787840"/>
        <c:scaling>
          <c:orientation val="minMax"/>
          <c:max val="0.8"/>
          <c:min val="-0.4"/>
        </c:scaling>
        <c:axPos val="l"/>
        <c:majorGridlines/>
        <c:delete val="0"/>
        <c:numFmt formatCode="0.00" sourceLinked="0"/>
        <c:majorTickMark val="out"/>
        <c:minorTickMark val="none"/>
        <c:tickLblPos val="high"/>
        <c:txPr>
          <a:bodyPr/>
          <a:lstStyle/>
          <a:p>
            <a:pPr>
              <a:defRPr lang="en-US" cap="none" sz="600" b="0" i="0" u="none" baseline="0">
                <a:latin typeface="Arial"/>
                <a:ea typeface="Arial"/>
                <a:cs typeface="Arial"/>
              </a:defRPr>
            </a:pPr>
          </a:p>
        </c:txPr>
        <c:crossAx val="35469255"/>
        <c:crosses val="max"/>
        <c:crossBetween val="midCat"/>
        <c:dispUnits/>
        <c:majorUnit val="0.2"/>
        <c:minorUnit val="0.04"/>
      </c:valAx>
      <c:spPr>
        <a:solidFill>
          <a:srgbClr val="C0C0C0"/>
        </a:solidFill>
        <a:ln w="12700">
          <a:solidFill>
            <a:srgbClr val="808080"/>
          </a:solidFill>
        </a:ln>
      </c:spPr>
    </c:plotArea>
    <c:legend>
      <c:legendPos val="b"/>
      <c:layout>
        <c:manualLayout>
          <c:xMode val="edge"/>
          <c:yMode val="edge"/>
          <c:x val="0.01875"/>
          <c:y val="0.6045"/>
          <c:w val="0.951"/>
          <c:h val="0.18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24275"/>
          <c:w val="0.99075"/>
          <c:h val="0.27775"/>
        </c:manualLayout>
      </c:layout>
      <c:scatterChart>
        <c:scatterStyle val="smoothMarker"/>
        <c:varyColors val="0"/>
        <c:ser>
          <c:idx val="0"/>
          <c:order val="0"/>
          <c:tx>
            <c:strRef>
              <c:f>BettungsquerschnittA!$A$4</c:f>
              <c:strCache>
                <c:ptCount val="1"/>
                <c:pt idx="0">
                  <c:v>Bettungsquerschnittsberechnung - Querschnitt 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00"/>
              </a:solidFill>
              <a:ln>
                <a:solidFill>
                  <a:srgbClr val="FF0000"/>
                </a:solidFill>
              </a:ln>
            </c:spPr>
          </c:marker>
          <c:dLbls>
            <c:dLbl>
              <c:idx val="1"/>
              <c:txPr>
                <a:bodyPr vert="horz" rot="0" anchor="ctr"/>
                <a:lstStyle/>
                <a:p>
                  <a:pPr algn="ctr">
                    <a:defRPr lang="en-US" cap="none" sz="600" b="0" i="0" u="none" baseline="0">
                      <a:solidFill>
                        <a:srgbClr val="FF0000"/>
                      </a:solidFill>
                      <a:latin typeface="Arial"/>
                      <a:ea typeface="Arial"/>
                      <a:cs typeface="Arial"/>
                    </a:defRPr>
                  </a:pPr>
                </a:p>
              </c:txPr>
              <c:numFmt formatCode="0.00" sourceLinked="0"/>
              <c:showLegendKey val="0"/>
              <c:showVal val="0"/>
              <c:showBubbleSize val="0"/>
              <c:showCatName val="1"/>
              <c:showSerName val="0"/>
              <c:showPercent val="0"/>
            </c:dLbl>
            <c:numFmt formatCode="0.00" sourceLinked="0"/>
            <c:txPr>
              <a:bodyPr vert="horz" rot="0" anchor="ctr"/>
              <a:lstStyle/>
              <a:p>
                <a:pPr algn="ctr">
                  <a:defRPr lang="en-US" cap="none" sz="600" b="0" i="0" u="none" baseline="0">
                    <a:solidFill>
                      <a:srgbClr val="FF0000"/>
                    </a:solidFill>
                    <a:latin typeface="Arial"/>
                    <a:ea typeface="Arial"/>
                    <a:cs typeface="Arial"/>
                  </a:defRPr>
                </a:pPr>
              </a:p>
            </c:txPr>
            <c:showLegendKey val="0"/>
            <c:showVal val="0"/>
            <c:showBubbleSize val="0"/>
            <c:showCatName val="1"/>
            <c:showSerName val="0"/>
            <c:showPercent val="0"/>
          </c:dLbls>
          <c:xVal>
            <c:strRef>
              <c:f>BettungsquerschnittA!$N$59:$N$63</c:f>
              <c:strCache>
                <c:ptCount val="5"/>
                <c:pt idx="0">
                  <c:v>2-gleisig</c:v>
                </c:pt>
                <c:pt idx="1">
                  <c:v>2-gleisig</c:v>
                </c:pt>
                <c:pt idx="2">
                  <c:v>2-gleisig</c:v>
                </c:pt>
                <c:pt idx="3">
                  <c:v>2-gleisig</c:v>
                </c:pt>
                <c:pt idx="4">
                  <c:v>2-gleisig</c:v>
                </c:pt>
              </c:strCache>
            </c:strRef>
          </c:xVal>
          <c:yVal>
            <c:numRef>
              <c:f>BettungsquerschnittA!$O$59:$O$63</c:f>
              <c:numCache>
                <c:ptCount val="5"/>
                <c:pt idx="0">
                  <c:v>0</c:v>
                </c:pt>
                <c:pt idx="1">
                  <c:v>0</c:v>
                </c:pt>
                <c:pt idx="2">
                  <c:v>0</c:v>
                </c:pt>
                <c:pt idx="3">
                  <c:v>0</c:v>
                </c:pt>
                <c:pt idx="4">
                  <c:v>0</c:v>
                </c:pt>
              </c:numCache>
            </c:numRef>
          </c:yVal>
          <c:smooth val="1"/>
        </c:ser>
        <c:ser>
          <c:idx val="1"/>
          <c:order val="1"/>
          <c:tx>
            <c:strRef>
              <c:f>BettungsquerschnittB!$A$4</c:f>
              <c:strCache>
                <c:ptCount val="1"/>
                <c:pt idx="0">
                  <c:v>Bettungsquerschnittsberechnung - Querschnitt B</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dLbls>
            <c:dLbl>
              <c:idx val="7"/>
              <c:txPr>
                <a:bodyPr vert="horz" rot="0" anchor="ctr"/>
                <a:lstStyle/>
                <a:p>
                  <a:pPr algn="ctr">
                    <a:defRPr lang="en-US" cap="none" sz="600" b="0" i="0" u="none" baseline="0">
                      <a:solidFill>
                        <a:srgbClr val="0000FF"/>
                      </a:solidFill>
                      <a:latin typeface="Arial"/>
                      <a:ea typeface="Arial"/>
                      <a:cs typeface="Arial"/>
                    </a:defRPr>
                  </a:pPr>
                </a:p>
              </c:txPr>
              <c:numFmt formatCode="0.00" sourceLinked="0"/>
              <c:dLblPos val="l"/>
              <c:showLegendKey val="0"/>
              <c:showVal val="0"/>
              <c:showBubbleSize val="0"/>
              <c:showCatName val="1"/>
              <c:showSerName val="0"/>
              <c:showPercent val="0"/>
            </c:dLbl>
            <c:numFmt formatCode="0.00" sourceLinked="0"/>
            <c:txPr>
              <a:bodyPr vert="horz" rot="0" anchor="ctr"/>
              <a:lstStyle/>
              <a:p>
                <a:pPr algn="ctr">
                  <a:defRPr lang="en-US" cap="none" sz="600" b="0" i="0" u="none" baseline="0">
                    <a:solidFill>
                      <a:srgbClr val="0000FF"/>
                    </a:solidFill>
                    <a:latin typeface="Arial"/>
                    <a:ea typeface="Arial"/>
                    <a:cs typeface="Arial"/>
                  </a:defRPr>
                </a:pPr>
              </a:p>
            </c:txPr>
            <c:dLblPos val="l"/>
            <c:showLegendKey val="0"/>
            <c:showVal val="0"/>
            <c:showBubbleSize val="0"/>
            <c:showCatName val="1"/>
            <c:showSerName val="0"/>
            <c:showPercent val="0"/>
          </c:dLbls>
          <c:xVal>
            <c:strRef>
              <c:f>BettungsquerschnittB!$N$59:$N$63</c:f>
              <c:strCache>
                <c:ptCount val="5"/>
                <c:pt idx="0">
                  <c:v>2-gleisig</c:v>
                </c:pt>
                <c:pt idx="1">
                  <c:v>2-gleisig</c:v>
                </c:pt>
                <c:pt idx="2">
                  <c:v>2-gleisig</c:v>
                </c:pt>
                <c:pt idx="3">
                  <c:v>2-gleisig</c:v>
                </c:pt>
                <c:pt idx="4">
                  <c:v>2-gleisig</c:v>
                </c:pt>
              </c:strCache>
            </c:strRef>
          </c:xVal>
          <c:yVal>
            <c:numRef>
              <c:f>BettungsquerschnittB!$O$59:$O$63</c:f>
              <c:numCache>
                <c:ptCount val="5"/>
                <c:pt idx="0">
                  <c:v>0</c:v>
                </c:pt>
                <c:pt idx="1">
                  <c:v>0</c:v>
                </c:pt>
                <c:pt idx="2">
                  <c:v>0</c:v>
                </c:pt>
                <c:pt idx="3">
                  <c:v>0</c:v>
                </c:pt>
                <c:pt idx="4">
                  <c:v>0</c:v>
                </c:pt>
              </c:numCache>
            </c:numRef>
          </c:yVal>
          <c:smooth val="1"/>
        </c:ser>
        <c:ser>
          <c:idx val="2"/>
          <c:order val="2"/>
          <c:tx>
            <c:strRef>
              <c:f>BettungsquerschnittA!$N$33</c:f>
              <c:strCache>
                <c:ptCount val="1"/>
                <c:pt idx="0">
                  <c:v>6,928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3"/>
          <c:order val="3"/>
          <c:tx>
            <c:strRef>
              <c:f>BettungsquerschnittB!$N$33</c:f>
              <c:strCache>
                <c:ptCount val="1"/>
                <c:pt idx="0">
                  <c:v>9,459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numFmt formatCode="General" sourceLinked="1"/>
            <c:showLegendKey val="0"/>
            <c:showVal val="0"/>
            <c:showBubbleSize val="0"/>
            <c:showCatName val="0"/>
            <c:showSerName val="0"/>
            <c:showPercent val="0"/>
          </c:dLbls>
          <c:yVal>
            <c:numLit>
              <c:ptCount val="1"/>
              <c:pt idx="0">
                <c:v>0</c:v>
              </c:pt>
            </c:numLit>
          </c:yVal>
          <c:smooth val="1"/>
        </c:ser>
        <c:ser>
          <c:idx val="4"/>
          <c:order val="4"/>
          <c:tx>
            <c:strRef>
              <c:f>BettungsquerschnittA!$C$11</c:f>
              <c:strCache>
                <c:ptCount val="1"/>
                <c:pt idx="0">
                  <c:v>B70, l=2,40m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5"/>
          <c:order val="5"/>
          <c:tx>
            <c:strRef>
              <c:f>BettungsquerschnittB!$C$11</c:f>
              <c:strCache>
                <c:ptCount val="1"/>
                <c:pt idx="0">
                  <c:v>B70, l=2,60m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6"/>
          <c:order val="6"/>
          <c:tx>
            <c:strRef>
              <c:f>BettungsquerschnittA!$C$31</c:f>
              <c:strCache>
                <c:ptCount val="1"/>
                <c:pt idx="0">
                  <c:v>4,00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7"/>
          <c:order val="7"/>
          <c:tx>
            <c:strRef>
              <c:f>BettungsquerschnittB!$C$31</c:f>
              <c:strCache>
                <c:ptCount val="1"/>
                <c:pt idx="0">
                  <c:v>6,00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8"/>
          <c:order val="8"/>
          <c:tx>
            <c:strRef>
              <c:f>BettungsquerschnittA!$C$23</c:f>
              <c:strCache>
                <c:ptCount val="1"/>
                <c:pt idx="0">
                  <c:v>0,30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9"/>
          <c:order val="9"/>
          <c:tx>
            <c:strRef>
              <c:f>BettungsquerschnittB!$C$23</c:f>
              <c:strCache>
                <c:ptCount val="1"/>
                <c:pt idx="0">
                  <c:v>0,35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0"/>
          <c:order val="10"/>
          <c:tx>
            <c:strRef>
              <c:f>BettungsquerschnittA!$C$35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1"/>
          <c:order val="11"/>
          <c:tx>
            <c:strRef>
              <c:f>BettungsquerschnittB!$C$35</c:f>
              <c:strCache>
                <c:ptCount val="1"/>
                <c:pt idx="0">
                  <c:v>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2"/>
          <c:order val="12"/>
          <c:tx>
            <c:strRef>
              <c:f>BettungsquerschnittA!$C$19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3"/>
          <c:order val="13"/>
          <c:tx>
            <c:strRef>
              <c:f>BettungsquerschnittB!$C$19</c:f>
              <c:strCache>
                <c:ptCount val="1"/>
                <c:pt idx="0">
                  <c:v>0,60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4"/>
          <c:order val="14"/>
          <c:tx>
            <c:strRef>
              <c:f>BettungsquerschnittA!$N$9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ser>
          <c:idx val="15"/>
          <c:order val="15"/>
          <c:tx>
            <c:strRef>
              <c:f>BettungsquerschnittB!$N$9</c:f>
              <c:strCache>
                <c:ptCount val="1"/>
                <c:pt idx="0">
                  <c:v>0,4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yVal>
            <c:numLit>
              <c:ptCount val="1"/>
              <c:pt idx="0">
                <c:v>0</c:v>
              </c:pt>
            </c:numLit>
          </c:yVal>
          <c:smooth val="1"/>
        </c:ser>
        <c:axId val="54437377"/>
        <c:axId val="20174346"/>
      </c:scatterChart>
      <c:valAx>
        <c:axId val="54437377"/>
        <c:scaling>
          <c:orientation val="minMax"/>
          <c:max val="4"/>
          <c:min val="-4"/>
        </c:scaling>
        <c:axPos val="b"/>
        <c:majorGridlines>
          <c:spPr>
            <a:ln w="3175">
              <a:solidFill/>
              <a:prstDash val="lgDashDotDot"/>
            </a:ln>
          </c:spPr>
        </c:majorGridlines>
        <c:delete val="0"/>
        <c:numFmt formatCode="0.00" sourceLinked="0"/>
        <c:majorTickMark val="out"/>
        <c:minorTickMark val="none"/>
        <c:tickLblPos val="nextTo"/>
        <c:txPr>
          <a:bodyPr/>
          <a:lstStyle/>
          <a:p>
            <a:pPr>
              <a:defRPr lang="en-US" cap="none" sz="600" b="0" i="0" u="none" baseline="0">
                <a:latin typeface="Arial"/>
                <a:ea typeface="Arial"/>
                <a:cs typeface="Arial"/>
              </a:defRPr>
            </a:pPr>
          </a:p>
        </c:txPr>
        <c:crossAx val="20174346"/>
        <c:crosses val="max"/>
        <c:crossBetween val="midCat"/>
        <c:dispUnits/>
      </c:valAx>
      <c:valAx>
        <c:axId val="20174346"/>
        <c:scaling>
          <c:orientation val="minMax"/>
          <c:max val="0.8"/>
          <c:min val="-0.4"/>
        </c:scaling>
        <c:axPos val="l"/>
        <c:majorGridlines/>
        <c:delete val="0"/>
        <c:numFmt formatCode="0.00" sourceLinked="0"/>
        <c:majorTickMark val="out"/>
        <c:minorTickMark val="none"/>
        <c:tickLblPos val="high"/>
        <c:txPr>
          <a:bodyPr/>
          <a:lstStyle/>
          <a:p>
            <a:pPr>
              <a:defRPr lang="en-US" cap="none" sz="600" b="0" i="0" u="none" baseline="0">
                <a:latin typeface="Arial"/>
                <a:ea typeface="Arial"/>
                <a:cs typeface="Arial"/>
              </a:defRPr>
            </a:pPr>
          </a:p>
        </c:txPr>
        <c:crossAx val="54437377"/>
        <c:crosses val="max"/>
        <c:crossBetween val="midCat"/>
        <c:dispUnits/>
        <c:majorUnit val="0.2"/>
        <c:minorUnit val="0.04"/>
      </c:valAx>
      <c:spPr>
        <a:solidFill>
          <a:srgbClr val="C0C0C0"/>
        </a:solidFill>
        <a:ln w="12700">
          <a:solidFill>
            <a:srgbClr val="808080"/>
          </a:solidFill>
        </a:ln>
      </c:spPr>
    </c:plotArea>
    <c:legend>
      <c:legendPos val="b"/>
      <c:layout>
        <c:manualLayout>
          <c:xMode val="edge"/>
          <c:yMode val="edge"/>
          <c:x val="0.01675"/>
          <c:y val="0.6045"/>
          <c:w val="0.951"/>
          <c:h val="0.18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48031497" right="0.7874015748031497" top="0.984251968503937" bottom="0.984251968503937" header="0.5118110236220472" footer="0.5118110236220472"/>
  <pageSetup horizontalDpi="600" verticalDpi="600" orientation="landscape" paperSize="9"/>
  <headerFooter>
    <oddFooter>&amp;LDeutsche Bahn AG
Technik/Beschaffung
Oberbautechnik - T.TZF 61 Mißler
Kleyerstraße 90
60326 Frankfurt am Main &amp;RStand 28.04.2005</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headerFooter>
    <oddFooter>&amp;LDeutsche Bahn AG
Technik/Beschaffung
Oberbautechnik - T.TZF 61 Mißler
Kleyerstraße 90
60326 Frankfurt am Main &amp;RStand 28.04.2005</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headerFooter>
    <oddFooter>&amp;LDeutsche Bahn AG
Technik/Beschaffung
Oberbautechnik - T.TZF 61 Mißler
Kleyerstraße 90
60326 Frankfurt am Main &amp;RStand 28.04.2005</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6</xdr:col>
      <xdr:colOff>742950</xdr:colOff>
      <xdr:row>56</xdr:row>
      <xdr:rowOff>0</xdr:rowOff>
    </xdr:to>
    <xdr:sp>
      <xdr:nvSpPr>
        <xdr:cNvPr id="1" name="TextBox 1"/>
        <xdr:cNvSpPr txBox="1">
          <a:spLocks noChangeArrowheads="1"/>
        </xdr:cNvSpPr>
      </xdr:nvSpPr>
      <xdr:spPr>
        <a:xfrm>
          <a:off x="0" y="1952625"/>
          <a:ext cx="5314950" cy="7115175"/>
        </a:xfrm>
        <a:prstGeom prst="rect">
          <a:avLst/>
        </a:prstGeom>
        <a:solidFill>
          <a:srgbClr val="FFFFFF"/>
        </a:solidFill>
        <a:ln w="9525" cmpd="sng">
          <a:solidFill>
            <a:srgbClr val="000000"/>
          </a:solidFill>
          <a:headEnd type="none"/>
          <a:tailEnd type="none"/>
        </a:ln>
      </xdr:spPr>
      <xdr:txBody>
        <a:bodyPr vertOverflow="clip" wrap="square" lIns="180000" tIns="46800" rIns="180000" bIns="46800"/>
        <a:p>
          <a:pPr algn="l">
            <a:defRPr/>
          </a:pPr>
          <a:r>
            <a:rPr lang="en-US" cap="none" sz="1200" b="1" i="0" u="none" baseline="0">
              <a:latin typeface="Arial"/>
              <a:ea typeface="Arial"/>
              <a:cs typeface="Arial"/>
            </a:rPr>
            <a:t>
Hinweise und Anleitung zur Bettungsquerschnittsberechnung
</a:t>
          </a:r>
          <a:r>
            <a:rPr lang="en-US" cap="none" sz="1100" b="0" i="0" u="none" baseline="0">
              <a:latin typeface="Arial"/>
              <a:ea typeface="Arial"/>
              <a:cs typeface="Arial"/>
            </a:rPr>
            <a:t>Bei der Bettungsquerschnittsberechnung besteht die Möglichkeit zwei verschiedene Oberbauvarianten miteinander zu vergleichen. Die Eingangsdaten werden über die gelben Felder der Tabellenblätter "BettungsquerschnittA" und "BettungsquerschnittB" eingegeben. Unmittelbar nach der Eingabe erfolgen die Massenberechnung und die Berechnung der Punktkoordinaten mit gleichzeitiger Ergebnisdarstellung im entsprechenden Tabellenblatt. 
Die Zuordnung der Punkte für den 2-gleisigen Fall und die jeweiligen 1-gleisigen Fälle können den folgenden Abbildungen entnommen werden. In den Tabellenblättern beziehen sich die Punktkoordinaten jeweils auf ein festes Koordinatensystem, dessen Ursprung im Mittelpunkt des Schienenfußes der maßgebenden Schiene liegt. Darüber hinaus werden die Daten in Bezug auf die Streckenachse beim zweigleisigen Querschnitt und in Bezug auf die Gleisachse und in Bezug auf die Höhe des Planums angegeben.
i: Innen
a: Außen
</a:t>
          </a:r>
        </a:p>
      </xdr:txBody>
    </xdr:sp>
    <xdr:clientData/>
  </xdr:twoCellAnchor>
  <xdr:twoCellAnchor>
    <xdr:from>
      <xdr:col>0</xdr:col>
      <xdr:colOff>123825</xdr:colOff>
      <xdr:row>32</xdr:row>
      <xdr:rowOff>104775</xdr:rowOff>
    </xdr:from>
    <xdr:to>
      <xdr:col>6</xdr:col>
      <xdr:colOff>733425</xdr:colOff>
      <xdr:row>51</xdr:row>
      <xdr:rowOff>133350</xdr:rowOff>
    </xdr:to>
    <xdr:grpSp>
      <xdr:nvGrpSpPr>
        <xdr:cNvPr id="2" name="Group 57"/>
        <xdr:cNvGrpSpPr>
          <a:grpSpLocks/>
        </xdr:cNvGrpSpPr>
      </xdr:nvGrpSpPr>
      <xdr:grpSpPr>
        <a:xfrm>
          <a:off x="123825" y="5286375"/>
          <a:ext cx="5181600" cy="3105150"/>
          <a:chOff x="13" y="578"/>
          <a:chExt cx="544" cy="326"/>
        </a:xfrm>
        <a:solidFill>
          <a:srgbClr val="FFFFFF"/>
        </a:solidFill>
      </xdr:grpSpPr>
      <xdr:pic>
        <xdr:nvPicPr>
          <xdr:cNvPr id="3" name="Picture 6"/>
          <xdr:cNvPicPr preferRelativeResize="1">
            <a:picLocks noChangeAspect="1"/>
          </xdr:cNvPicPr>
        </xdr:nvPicPr>
        <xdr:blipFill>
          <a:blip r:embed="rId1"/>
          <a:srcRect t="13262" b="41909"/>
          <a:stretch>
            <a:fillRect/>
          </a:stretch>
        </xdr:blipFill>
        <xdr:spPr>
          <a:xfrm>
            <a:off x="15" y="578"/>
            <a:ext cx="538" cy="151"/>
          </a:xfrm>
          <a:prstGeom prst="rect">
            <a:avLst/>
          </a:prstGeom>
          <a:noFill/>
          <a:ln w="9525" cmpd="sng">
            <a:noFill/>
          </a:ln>
        </xdr:spPr>
      </xdr:pic>
      <xdr:pic>
        <xdr:nvPicPr>
          <xdr:cNvPr id="4" name="Picture 15"/>
          <xdr:cNvPicPr preferRelativeResize="1">
            <a:picLocks noChangeAspect="1"/>
          </xdr:cNvPicPr>
        </xdr:nvPicPr>
        <xdr:blipFill>
          <a:blip r:embed="rId2"/>
          <a:srcRect t="15119" b="40847"/>
          <a:stretch>
            <a:fillRect/>
          </a:stretch>
        </xdr:blipFill>
        <xdr:spPr>
          <a:xfrm>
            <a:off x="13" y="754"/>
            <a:ext cx="544" cy="150"/>
          </a:xfrm>
          <a:prstGeom prst="rect">
            <a:avLst/>
          </a:prstGeom>
          <a:noFill/>
          <a:ln w="9525" cmpd="sng">
            <a:noFill/>
          </a:ln>
        </xdr:spPr>
      </xdr:pic>
      <xdr:sp>
        <xdr:nvSpPr>
          <xdr:cNvPr id="5" name="TextBox 12"/>
          <xdr:cNvSpPr txBox="1">
            <a:spLocks noChangeArrowheads="1"/>
          </xdr:cNvSpPr>
        </xdr:nvSpPr>
        <xdr:spPr>
          <a:xfrm>
            <a:off x="127" y="799"/>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Gi</a:t>
            </a:r>
          </a:p>
        </xdr:txBody>
      </xdr:sp>
      <xdr:sp>
        <xdr:nvSpPr>
          <xdr:cNvPr id="6" name="TextBox 7"/>
          <xdr:cNvSpPr txBox="1">
            <a:spLocks noChangeArrowheads="1"/>
          </xdr:cNvSpPr>
        </xdr:nvSpPr>
        <xdr:spPr>
          <a:xfrm>
            <a:off x="300" y="797"/>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Ga</a:t>
            </a:r>
          </a:p>
        </xdr:txBody>
      </xdr:sp>
      <xdr:sp>
        <xdr:nvSpPr>
          <xdr:cNvPr id="7" name="TextBox 8"/>
          <xdr:cNvSpPr txBox="1">
            <a:spLocks noChangeArrowheads="1"/>
          </xdr:cNvSpPr>
        </xdr:nvSpPr>
        <xdr:spPr>
          <a:xfrm>
            <a:off x="417" y="787"/>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Ba</a:t>
            </a:r>
          </a:p>
        </xdr:txBody>
      </xdr:sp>
      <xdr:sp>
        <xdr:nvSpPr>
          <xdr:cNvPr id="8" name="TextBox 9"/>
          <xdr:cNvSpPr txBox="1">
            <a:spLocks noChangeArrowheads="1"/>
          </xdr:cNvSpPr>
        </xdr:nvSpPr>
        <xdr:spPr>
          <a:xfrm>
            <a:off x="470" y="831"/>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Ca</a:t>
            </a:r>
          </a:p>
        </xdr:txBody>
      </xdr:sp>
      <xdr:sp>
        <xdr:nvSpPr>
          <xdr:cNvPr id="9" name="TextBox 10"/>
          <xdr:cNvSpPr txBox="1">
            <a:spLocks noChangeArrowheads="1"/>
          </xdr:cNvSpPr>
        </xdr:nvSpPr>
        <xdr:spPr>
          <a:xfrm>
            <a:off x="259" y="837"/>
            <a:ext cx="45" cy="21"/>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Ea, Di</a:t>
            </a:r>
          </a:p>
        </xdr:txBody>
      </xdr:sp>
      <xdr:sp>
        <xdr:nvSpPr>
          <xdr:cNvPr id="10" name="TextBox 11"/>
          <xdr:cNvSpPr txBox="1">
            <a:spLocks noChangeArrowheads="1"/>
          </xdr:cNvSpPr>
        </xdr:nvSpPr>
        <xdr:spPr>
          <a:xfrm>
            <a:off x="86" y="839"/>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Fi</a:t>
            </a:r>
          </a:p>
        </xdr:txBody>
      </xdr:sp>
      <xdr:sp>
        <xdr:nvSpPr>
          <xdr:cNvPr id="11" name="TextBox 13"/>
          <xdr:cNvSpPr txBox="1">
            <a:spLocks noChangeArrowheads="1"/>
          </xdr:cNvSpPr>
        </xdr:nvSpPr>
        <xdr:spPr>
          <a:xfrm>
            <a:off x="247" y="786"/>
            <a:ext cx="23"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Bi</a:t>
            </a:r>
          </a:p>
        </xdr:txBody>
      </xdr:sp>
      <xdr:sp>
        <xdr:nvSpPr>
          <xdr:cNvPr id="12" name="TextBox 16"/>
          <xdr:cNvSpPr txBox="1">
            <a:spLocks noChangeArrowheads="1"/>
          </xdr:cNvSpPr>
        </xdr:nvSpPr>
        <xdr:spPr>
          <a:xfrm>
            <a:off x="173" y="630"/>
            <a:ext cx="47" cy="1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Ga,Gi</a:t>
            </a:r>
          </a:p>
        </xdr:txBody>
      </xdr:sp>
      <xdr:sp>
        <xdr:nvSpPr>
          <xdr:cNvPr id="13" name="TextBox 17"/>
          <xdr:cNvSpPr txBox="1">
            <a:spLocks noChangeArrowheads="1"/>
          </xdr:cNvSpPr>
        </xdr:nvSpPr>
        <xdr:spPr>
          <a:xfrm>
            <a:off x="374" y="637"/>
            <a:ext cx="47" cy="1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Ba, Bi</a:t>
            </a:r>
          </a:p>
        </xdr:txBody>
      </xdr:sp>
      <xdr:sp>
        <xdr:nvSpPr>
          <xdr:cNvPr id="14" name="TextBox 18"/>
          <xdr:cNvSpPr txBox="1">
            <a:spLocks noChangeArrowheads="1"/>
          </xdr:cNvSpPr>
        </xdr:nvSpPr>
        <xdr:spPr>
          <a:xfrm>
            <a:off x="429" y="681"/>
            <a:ext cx="47" cy="1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Ca, Hi</a:t>
            </a:r>
          </a:p>
        </xdr:txBody>
      </xdr:sp>
      <xdr:sp>
        <xdr:nvSpPr>
          <xdr:cNvPr id="15" name="TextBox 19"/>
          <xdr:cNvSpPr txBox="1">
            <a:spLocks noChangeArrowheads="1"/>
          </xdr:cNvSpPr>
        </xdr:nvSpPr>
        <xdr:spPr>
          <a:xfrm>
            <a:off x="122" y="687"/>
            <a:ext cx="47" cy="19"/>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Ai, Ea</a:t>
            </a:r>
          </a:p>
        </xdr:txBody>
      </xdr:sp>
      <xdr:grpSp>
        <xdr:nvGrpSpPr>
          <xdr:cNvPr id="16" name="Group 37"/>
          <xdr:cNvGrpSpPr>
            <a:grpSpLocks/>
          </xdr:cNvGrpSpPr>
        </xdr:nvGrpSpPr>
        <xdr:grpSpPr>
          <a:xfrm>
            <a:off x="168" y="776"/>
            <a:ext cx="47" cy="43"/>
            <a:chOff x="621" y="820"/>
            <a:chExt cx="47" cy="43"/>
          </a:xfrm>
          <a:solidFill>
            <a:srgbClr val="FFFFFF"/>
          </a:solidFill>
        </xdr:grpSpPr>
        <xdr:grpSp>
          <xdr:nvGrpSpPr>
            <xdr:cNvPr id="17" name="Group 22"/>
            <xdr:cNvGrpSpPr>
              <a:grpSpLocks/>
            </xdr:cNvGrpSpPr>
          </xdr:nvGrpSpPr>
          <xdr:grpSpPr>
            <a:xfrm>
              <a:off x="621" y="820"/>
              <a:ext cx="45" cy="43"/>
              <a:chOff x="621" y="820"/>
              <a:chExt cx="45" cy="43"/>
            </a:xfrm>
            <a:solidFill>
              <a:srgbClr val="FFFFFF"/>
            </a:solidFill>
          </xdr:grpSpPr>
          <xdr:sp>
            <xdr:nvSpPr>
              <xdr:cNvPr id="18" name="Line 20"/>
              <xdr:cNvSpPr>
                <a:spLocks/>
              </xdr:cNvSpPr>
            </xdr:nvSpPr>
            <xdr:spPr>
              <a:xfrm flipV="1">
                <a:off x="622" y="820"/>
                <a:ext cx="0"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21"/>
              <xdr:cNvSpPr>
                <a:spLocks/>
              </xdr:cNvSpPr>
            </xdr:nvSpPr>
            <xdr:spPr>
              <a:xfrm>
                <a:off x="621" y="862"/>
                <a:ext cx="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20" name="TextBox 23"/>
            <xdr:cNvSpPr txBox="1">
              <a:spLocks noChangeArrowheads="1"/>
            </xdr:cNvSpPr>
          </xdr:nvSpPr>
          <xdr:spPr>
            <a:xfrm>
              <a:off x="645" y="839"/>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xi</a:t>
              </a:r>
            </a:p>
          </xdr:txBody>
        </xdr:sp>
        <xdr:sp>
          <xdr:nvSpPr>
            <xdr:cNvPr id="21" name="TextBox 24"/>
            <xdr:cNvSpPr txBox="1">
              <a:spLocks noChangeArrowheads="1"/>
            </xdr:cNvSpPr>
          </xdr:nvSpPr>
          <xdr:spPr>
            <a:xfrm>
              <a:off x="626" y="823"/>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yi</a:t>
              </a:r>
            </a:p>
          </xdr:txBody>
        </xdr:sp>
      </xdr:grpSp>
      <xdr:grpSp>
        <xdr:nvGrpSpPr>
          <xdr:cNvPr id="22" name="Group 38"/>
          <xdr:cNvGrpSpPr>
            <a:grpSpLocks/>
          </xdr:cNvGrpSpPr>
        </xdr:nvGrpSpPr>
        <xdr:grpSpPr>
          <a:xfrm>
            <a:off x="323" y="613"/>
            <a:ext cx="47" cy="43"/>
            <a:chOff x="621" y="820"/>
            <a:chExt cx="47" cy="43"/>
          </a:xfrm>
          <a:solidFill>
            <a:srgbClr val="FFFFFF"/>
          </a:solidFill>
        </xdr:grpSpPr>
        <xdr:grpSp>
          <xdr:nvGrpSpPr>
            <xdr:cNvPr id="23" name="Group 39"/>
            <xdr:cNvGrpSpPr>
              <a:grpSpLocks/>
            </xdr:cNvGrpSpPr>
          </xdr:nvGrpSpPr>
          <xdr:grpSpPr>
            <a:xfrm>
              <a:off x="621" y="820"/>
              <a:ext cx="45" cy="43"/>
              <a:chOff x="621" y="820"/>
              <a:chExt cx="45" cy="43"/>
            </a:xfrm>
            <a:solidFill>
              <a:srgbClr val="FFFFFF"/>
            </a:solidFill>
          </xdr:grpSpPr>
          <xdr:sp>
            <xdr:nvSpPr>
              <xdr:cNvPr id="24" name="Line 40"/>
              <xdr:cNvSpPr>
                <a:spLocks/>
              </xdr:cNvSpPr>
            </xdr:nvSpPr>
            <xdr:spPr>
              <a:xfrm flipV="1">
                <a:off x="622" y="820"/>
                <a:ext cx="0"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 name="Line 41"/>
              <xdr:cNvSpPr>
                <a:spLocks/>
              </xdr:cNvSpPr>
            </xdr:nvSpPr>
            <xdr:spPr>
              <a:xfrm>
                <a:off x="621" y="862"/>
                <a:ext cx="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26" name="TextBox 42"/>
            <xdr:cNvSpPr txBox="1">
              <a:spLocks noChangeArrowheads="1"/>
            </xdr:cNvSpPr>
          </xdr:nvSpPr>
          <xdr:spPr>
            <a:xfrm>
              <a:off x="645" y="839"/>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xa</a:t>
              </a:r>
            </a:p>
          </xdr:txBody>
        </xdr:sp>
        <xdr:sp>
          <xdr:nvSpPr>
            <xdr:cNvPr id="27" name="TextBox 43"/>
            <xdr:cNvSpPr txBox="1">
              <a:spLocks noChangeArrowheads="1"/>
            </xdr:cNvSpPr>
          </xdr:nvSpPr>
          <xdr:spPr>
            <a:xfrm>
              <a:off x="626" y="823"/>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ya</a:t>
              </a:r>
            </a:p>
          </xdr:txBody>
        </xdr:sp>
      </xdr:grpSp>
      <xdr:grpSp>
        <xdr:nvGrpSpPr>
          <xdr:cNvPr id="28" name="Group 44"/>
          <xdr:cNvGrpSpPr>
            <a:grpSpLocks/>
          </xdr:cNvGrpSpPr>
        </xdr:nvGrpSpPr>
        <xdr:grpSpPr>
          <a:xfrm>
            <a:off x="239" y="615"/>
            <a:ext cx="47" cy="43"/>
            <a:chOff x="621" y="820"/>
            <a:chExt cx="47" cy="43"/>
          </a:xfrm>
          <a:solidFill>
            <a:srgbClr val="FFFFFF"/>
          </a:solidFill>
        </xdr:grpSpPr>
        <xdr:grpSp>
          <xdr:nvGrpSpPr>
            <xdr:cNvPr id="29" name="Group 45"/>
            <xdr:cNvGrpSpPr>
              <a:grpSpLocks/>
            </xdr:cNvGrpSpPr>
          </xdr:nvGrpSpPr>
          <xdr:grpSpPr>
            <a:xfrm>
              <a:off x="621" y="820"/>
              <a:ext cx="45" cy="43"/>
              <a:chOff x="621" y="820"/>
              <a:chExt cx="45" cy="43"/>
            </a:xfrm>
            <a:solidFill>
              <a:srgbClr val="FFFFFF"/>
            </a:solidFill>
          </xdr:grpSpPr>
          <xdr:sp>
            <xdr:nvSpPr>
              <xdr:cNvPr id="30" name="Line 46"/>
              <xdr:cNvSpPr>
                <a:spLocks/>
              </xdr:cNvSpPr>
            </xdr:nvSpPr>
            <xdr:spPr>
              <a:xfrm flipV="1">
                <a:off x="622" y="820"/>
                <a:ext cx="0"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1" name="Line 47"/>
              <xdr:cNvSpPr>
                <a:spLocks/>
              </xdr:cNvSpPr>
            </xdr:nvSpPr>
            <xdr:spPr>
              <a:xfrm>
                <a:off x="621" y="862"/>
                <a:ext cx="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32" name="TextBox 48"/>
            <xdr:cNvSpPr txBox="1">
              <a:spLocks noChangeArrowheads="1"/>
            </xdr:cNvSpPr>
          </xdr:nvSpPr>
          <xdr:spPr>
            <a:xfrm>
              <a:off x="645" y="839"/>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xi</a:t>
              </a:r>
            </a:p>
          </xdr:txBody>
        </xdr:sp>
        <xdr:sp>
          <xdr:nvSpPr>
            <xdr:cNvPr id="33" name="TextBox 49"/>
            <xdr:cNvSpPr txBox="1">
              <a:spLocks noChangeArrowheads="1"/>
            </xdr:cNvSpPr>
          </xdr:nvSpPr>
          <xdr:spPr>
            <a:xfrm>
              <a:off x="626" y="823"/>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yi</a:t>
              </a:r>
            </a:p>
          </xdr:txBody>
        </xdr:sp>
      </xdr:grpSp>
      <xdr:grpSp>
        <xdr:nvGrpSpPr>
          <xdr:cNvPr id="34" name="Group 50"/>
          <xdr:cNvGrpSpPr>
            <a:grpSpLocks/>
          </xdr:cNvGrpSpPr>
        </xdr:nvGrpSpPr>
        <xdr:grpSpPr>
          <a:xfrm>
            <a:off x="345" y="774"/>
            <a:ext cx="47" cy="43"/>
            <a:chOff x="621" y="820"/>
            <a:chExt cx="47" cy="43"/>
          </a:xfrm>
          <a:solidFill>
            <a:srgbClr val="FFFFFF"/>
          </a:solidFill>
        </xdr:grpSpPr>
        <xdr:grpSp>
          <xdr:nvGrpSpPr>
            <xdr:cNvPr id="35" name="Group 51"/>
            <xdr:cNvGrpSpPr>
              <a:grpSpLocks/>
            </xdr:cNvGrpSpPr>
          </xdr:nvGrpSpPr>
          <xdr:grpSpPr>
            <a:xfrm>
              <a:off x="621" y="820"/>
              <a:ext cx="45" cy="43"/>
              <a:chOff x="621" y="820"/>
              <a:chExt cx="45" cy="43"/>
            </a:xfrm>
            <a:solidFill>
              <a:srgbClr val="FFFFFF"/>
            </a:solidFill>
          </xdr:grpSpPr>
          <xdr:sp>
            <xdr:nvSpPr>
              <xdr:cNvPr id="36" name="Line 52"/>
              <xdr:cNvSpPr>
                <a:spLocks/>
              </xdr:cNvSpPr>
            </xdr:nvSpPr>
            <xdr:spPr>
              <a:xfrm flipV="1">
                <a:off x="622" y="820"/>
                <a:ext cx="0" cy="4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53"/>
              <xdr:cNvSpPr>
                <a:spLocks/>
              </xdr:cNvSpPr>
            </xdr:nvSpPr>
            <xdr:spPr>
              <a:xfrm>
                <a:off x="621" y="862"/>
                <a:ext cx="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38" name="TextBox 54"/>
            <xdr:cNvSpPr txBox="1">
              <a:spLocks noChangeArrowheads="1"/>
            </xdr:cNvSpPr>
          </xdr:nvSpPr>
          <xdr:spPr>
            <a:xfrm>
              <a:off x="645" y="839"/>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xa</a:t>
              </a:r>
            </a:p>
          </xdr:txBody>
        </xdr:sp>
        <xdr:sp>
          <xdr:nvSpPr>
            <xdr:cNvPr id="39" name="TextBox 55"/>
            <xdr:cNvSpPr txBox="1">
              <a:spLocks noChangeArrowheads="1"/>
            </xdr:cNvSpPr>
          </xdr:nvSpPr>
          <xdr:spPr>
            <a:xfrm>
              <a:off x="626" y="823"/>
              <a:ext cx="23" cy="18"/>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ya</a:t>
              </a:r>
            </a:p>
          </xdr:txBody>
        </xdr:sp>
      </xdr:grpSp>
    </xdr:grpSp>
    <xdr:clientData/>
  </xdr:twoCellAnchor>
  <xdr:twoCellAnchor>
    <xdr:from>
      <xdr:col>0</xdr:col>
      <xdr:colOff>0</xdr:colOff>
      <xdr:row>68</xdr:row>
      <xdr:rowOff>9525</xdr:rowOff>
    </xdr:from>
    <xdr:to>
      <xdr:col>6</xdr:col>
      <xdr:colOff>742950</xdr:colOff>
      <xdr:row>99</xdr:row>
      <xdr:rowOff>95250</xdr:rowOff>
    </xdr:to>
    <xdr:sp>
      <xdr:nvSpPr>
        <xdr:cNvPr id="40" name="TextBox 56"/>
        <xdr:cNvSpPr txBox="1">
          <a:spLocks noChangeArrowheads="1"/>
        </xdr:cNvSpPr>
      </xdr:nvSpPr>
      <xdr:spPr>
        <a:xfrm>
          <a:off x="0" y="11020425"/>
          <a:ext cx="5314950" cy="5105400"/>
        </a:xfrm>
        <a:prstGeom prst="rect">
          <a:avLst/>
        </a:prstGeom>
        <a:solidFill>
          <a:srgbClr val="FFFFFF"/>
        </a:solidFill>
        <a:ln w="9525" cmpd="sng">
          <a:solidFill>
            <a:srgbClr val="000000"/>
          </a:solidFill>
          <a:headEnd type="none"/>
          <a:tailEnd type="none"/>
        </a:ln>
      </xdr:spPr>
      <xdr:txBody>
        <a:bodyPr vertOverflow="clip" wrap="square" lIns="180000" tIns="46800" rIns="180000" bIns="46800"/>
        <a:p>
          <a:pPr algn="l">
            <a:defRPr/>
          </a:pPr>
          <a:r>
            <a:rPr lang="en-US" cap="none" sz="1100" b="0" i="0" u="none" baseline="0">
              <a:latin typeface="Arial"/>
              <a:ea typeface="Arial"/>
              <a:cs typeface="Arial"/>
            </a:rPr>
            <a:t>
In Abhängigkeit von der Überhöhung sind die errechneten Querschnitte in den Abbildungen 
"Querschnitt 2-gleisig"
"Querschnitt 1-gleisig u&lt;75mm"
"Querschnitt 1-gleisig u&gt;=75mm"
dargestellt. 
Die Abstände ausgewählter Koordinaten zur Gleis- bzw. Streckenachse, einschließlich des Schotterbett-Fußpunktes sind den Abbildungen zu entnehmen. Die Darstellung der Überhöhung erfolgt nur für den Linksbogen. Für den Rechtsbogen sind die Ergebnisse an der Gleis- bzw. Streckenachse zu spiegeln. 
Die Gestaltung der Schwellenfächer bei Gleisen mit v&gt;140 km/h gemäß DS 820 01 06 ("Tieferkehren") wird in der Bettungsquerschnittsberechnung nicht berücksichtigt. 
</a:t>
          </a:r>
        </a:p>
      </xdr:txBody>
    </xdr:sp>
    <xdr:clientData/>
  </xdr:twoCellAnchor>
  <xdr:twoCellAnchor>
    <xdr:from>
      <xdr:col>4</xdr:col>
      <xdr:colOff>342900</xdr:colOff>
      <xdr:row>56</xdr:row>
      <xdr:rowOff>47625</xdr:rowOff>
    </xdr:from>
    <xdr:to>
      <xdr:col>6</xdr:col>
      <xdr:colOff>466725</xdr:colOff>
      <xdr:row>58</xdr:row>
      <xdr:rowOff>142875</xdr:rowOff>
    </xdr:to>
    <xdr:pic>
      <xdr:nvPicPr>
        <xdr:cNvPr id="41" name="Picture 58"/>
        <xdr:cNvPicPr preferRelativeResize="1">
          <a:picLocks noChangeAspect="1"/>
        </xdr:cNvPicPr>
      </xdr:nvPicPr>
      <xdr:blipFill>
        <a:blip r:embed="rId3"/>
        <a:stretch>
          <a:fillRect/>
        </a:stretch>
      </xdr:blipFill>
      <xdr:spPr>
        <a:xfrm>
          <a:off x="3390900" y="9115425"/>
          <a:ext cx="1647825" cy="419100"/>
        </a:xfrm>
        <a:prstGeom prst="rect">
          <a:avLst/>
        </a:prstGeom>
        <a:noFill/>
        <a:ln w="9525" cmpd="sng">
          <a:noFill/>
        </a:ln>
      </xdr:spPr>
    </xdr:pic>
    <xdr:clientData/>
  </xdr:twoCellAnchor>
  <xdr:twoCellAnchor>
    <xdr:from>
      <xdr:col>4</xdr:col>
      <xdr:colOff>304800</xdr:colOff>
      <xdr:row>59</xdr:row>
      <xdr:rowOff>66675</xdr:rowOff>
    </xdr:from>
    <xdr:to>
      <xdr:col>6</xdr:col>
      <xdr:colOff>742950</xdr:colOff>
      <xdr:row>67</xdr:row>
      <xdr:rowOff>76200</xdr:rowOff>
    </xdr:to>
    <xdr:sp>
      <xdr:nvSpPr>
        <xdr:cNvPr id="42" name="TextBox 59"/>
        <xdr:cNvSpPr txBox="1">
          <a:spLocks noChangeArrowheads="1"/>
        </xdr:cNvSpPr>
      </xdr:nvSpPr>
      <xdr:spPr>
        <a:xfrm>
          <a:off x="3352800" y="9620250"/>
          <a:ext cx="1962150" cy="1304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Deutsche Bahn AG
Technik/Beschaffung
Oberbautechnik - T.TZF 61 Mißler
Kleyerstraße 90
60326 Frankfurt am Main
Tel.: (069) 265 45207 </a:t>
          </a:r>
        </a:p>
      </xdr:txBody>
    </xdr:sp>
    <xdr:clientData/>
  </xdr:twoCellAnchor>
  <xdr:twoCellAnchor>
    <xdr:from>
      <xdr:col>4</xdr:col>
      <xdr:colOff>342900</xdr:colOff>
      <xdr:row>0</xdr:row>
      <xdr:rowOff>85725</xdr:rowOff>
    </xdr:from>
    <xdr:to>
      <xdr:col>6</xdr:col>
      <xdr:colOff>466725</xdr:colOff>
      <xdr:row>3</xdr:row>
      <xdr:rowOff>19050</xdr:rowOff>
    </xdr:to>
    <xdr:pic>
      <xdr:nvPicPr>
        <xdr:cNvPr id="43" name="Picture 61"/>
        <xdr:cNvPicPr preferRelativeResize="1">
          <a:picLocks noChangeAspect="1"/>
        </xdr:cNvPicPr>
      </xdr:nvPicPr>
      <xdr:blipFill>
        <a:blip r:embed="rId3"/>
        <a:stretch>
          <a:fillRect/>
        </a:stretch>
      </xdr:blipFill>
      <xdr:spPr>
        <a:xfrm>
          <a:off x="3390900" y="85725"/>
          <a:ext cx="1647825" cy="419100"/>
        </a:xfrm>
        <a:prstGeom prst="rect">
          <a:avLst/>
        </a:prstGeom>
        <a:noFill/>
        <a:ln w="9525" cmpd="sng">
          <a:noFill/>
        </a:ln>
      </xdr:spPr>
    </xdr:pic>
    <xdr:clientData/>
  </xdr:twoCellAnchor>
  <xdr:twoCellAnchor>
    <xdr:from>
      <xdr:col>4</xdr:col>
      <xdr:colOff>304800</xdr:colOff>
      <xdr:row>3</xdr:row>
      <xdr:rowOff>104775</xdr:rowOff>
    </xdr:from>
    <xdr:to>
      <xdr:col>6</xdr:col>
      <xdr:colOff>742950</xdr:colOff>
      <xdr:row>11</xdr:row>
      <xdr:rowOff>114300</xdr:rowOff>
    </xdr:to>
    <xdr:sp>
      <xdr:nvSpPr>
        <xdr:cNvPr id="44" name="TextBox 62"/>
        <xdr:cNvSpPr txBox="1">
          <a:spLocks noChangeArrowheads="1"/>
        </xdr:cNvSpPr>
      </xdr:nvSpPr>
      <xdr:spPr>
        <a:xfrm>
          <a:off x="3352800" y="590550"/>
          <a:ext cx="1962150" cy="1304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Deutsche Bahn AG
Technik/Beschaffung
Oberbautechnik - T.TZF 61 Mißler
Kleyerstraße 90
60326 Frankfurt am Main
Tel.: (069) 265 45207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xdr:row>
      <xdr:rowOff>133350</xdr:rowOff>
    </xdr:from>
    <xdr:to>
      <xdr:col>51</xdr:col>
      <xdr:colOff>47625</xdr:colOff>
      <xdr:row>4</xdr:row>
      <xdr:rowOff>28575</xdr:rowOff>
    </xdr:to>
    <xdr:pic>
      <xdr:nvPicPr>
        <xdr:cNvPr id="1" name="Picture 11"/>
        <xdr:cNvPicPr preferRelativeResize="1">
          <a:picLocks noChangeAspect="1"/>
        </xdr:cNvPicPr>
      </xdr:nvPicPr>
      <xdr:blipFill>
        <a:blip r:embed="rId1"/>
        <a:stretch>
          <a:fillRect/>
        </a:stretch>
      </xdr:blipFill>
      <xdr:spPr>
        <a:xfrm>
          <a:off x="4295775" y="295275"/>
          <a:ext cx="16478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1</xdr:row>
      <xdr:rowOff>123825</xdr:rowOff>
    </xdr:from>
    <xdr:to>
      <xdr:col>14</xdr:col>
      <xdr:colOff>733425</xdr:colOff>
      <xdr:row>4</xdr:row>
      <xdr:rowOff>19050</xdr:rowOff>
    </xdr:to>
    <xdr:pic>
      <xdr:nvPicPr>
        <xdr:cNvPr id="1" name="Picture 10"/>
        <xdr:cNvPicPr preferRelativeResize="1">
          <a:picLocks noChangeAspect="1"/>
        </xdr:cNvPicPr>
      </xdr:nvPicPr>
      <xdr:blipFill>
        <a:blip r:embed="rId1"/>
        <a:stretch>
          <a:fillRect/>
        </a:stretch>
      </xdr:blipFill>
      <xdr:spPr>
        <a:xfrm>
          <a:off x="4314825" y="285750"/>
          <a:ext cx="1647825" cy="4191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0.43775</cdr:y>
    </cdr:from>
    <cdr:to>
      <cdr:x>0.49625</cdr:x>
      <cdr:y>0.61575</cdr:y>
    </cdr:to>
    <cdr:sp>
      <cdr:nvSpPr>
        <cdr:cNvPr id="1" name="TextBox 3"/>
        <cdr:cNvSpPr txBox="1">
          <a:spLocks noChangeArrowheads="1"/>
        </cdr:cNvSpPr>
      </cdr:nvSpPr>
      <cdr:spPr>
        <a:xfrm>
          <a:off x="4333875" y="2514600"/>
          <a:ext cx="247650" cy="1028700"/>
        </a:xfrm>
        <a:prstGeom prst="rect">
          <a:avLst/>
        </a:prstGeom>
        <a:noFill/>
        <a:ln w="9525" cmpd="sng">
          <a:noFill/>
        </a:ln>
      </cdr:spPr>
      <cdr:txBody>
        <a:bodyPr vertOverflow="clip" wrap="square" vert="vert270"/>
        <a:p>
          <a:pPr algn="l">
            <a:defRPr/>
          </a:pPr>
          <a:r>
            <a:rPr lang="en-US" cap="none" sz="960" b="0" i="0" u="none" baseline="0">
              <a:latin typeface="Arial"/>
              <a:ea typeface="Arial"/>
              <a:cs typeface="Arial"/>
            </a:rPr>
            <a:t>Streckenachse</a:t>
          </a:r>
        </a:p>
      </cdr:txBody>
    </cdr:sp>
  </cdr:relSizeAnchor>
  <cdr:relSizeAnchor xmlns:cdr="http://schemas.openxmlformats.org/drawingml/2006/chartDrawing">
    <cdr:from>
      <cdr:x>0.32625</cdr:x>
      <cdr:y>0.16675</cdr:y>
    </cdr:from>
    <cdr:to>
      <cdr:x>0.6605</cdr:x>
      <cdr:y>0.2155</cdr:y>
    </cdr:to>
    <cdr:sp>
      <cdr:nvSpPr>
        <cdr:cNvPr id="2" name="TextBox 4"/>
        <cdr:cNvSpPr txBox="1">
          <a:spLocks noChangeArrowheads="1"/>
        </cdr:cNvSpPr>
      </cdr:nvSpPr>
      <cdr:spPr>
        <a:xfrm>
          <a:off x="3009900" y="952500"/>
          <a:ext cx="3086100" cy="2762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2-gleisiger Bettungsquerschnitt</a:t>
          </a:r>
        </a:p>
      </cdr:txBody>
    </cdr:sp>
  </cdr:relSizeAnchor>
  <cdr:relSizeAnchor xmlns:cdr="http://schemas.openxmlformats.org/drawingml/2006/chartDrawing">
    <cdr:from>
      <cdr:x>0.01825</cdr:x>
      <cdr:y>0.1865</cdr:y>
    </cdr:from>
    <cdr:to>
      <cdr:x>0.1575</cdr:x>
      <cdr:y>0.23075</cdr:y>
    </cdr:to>
    <cdr:sp>
      <cdr:nvSpPr>
        <cdr:cNvPr id="3" name="TextBox 5"/>
        <cdr:cNvSpPr txBox="1">
          <a:spLocks noChangeArrowheads="1"/>
        </cdr:cNvSpPr>
      </cdr:nvSpPr>
      <cdr:spPr>
        <a:xfrm>
          <a:off x="161925" y="1066800"/>
          <a:ext cx="1285875" cy="257175"/>
        </a:xfrm>
        <a:prstGeom prst="rect">
          <a:avLst/>
        </a:prstGeom>
        <a:noFill/>
        <a:ln w="9525" cmpd="sng">
          <a:noFill/>
        </a:ln>
      </cdr:spPr>
      <cdr:txBody>
        <a:bodyPr vertOverflow="clip" wrap="square"/>
        <a:p>
          <a:pPr algn="l">
            <a:defRPr/>
          </a:pPr>
          <a:r>
            <a:rPr lang="en-US" cap="none" sz="960" b="0" i="0" u="none" baseline="0">
              <a:latin typeface="Arial"/>
              <a:ea typeface="Arial"/>
              <a:cs typeface="Arial"/>
            </a:rPr>
            <a:t>Maßeinheiten in [m]</a:t>
          </a:r>
        </a:p>
      </cdr:txBody>
    </cdr:sp>
  </cdr:relSizeAnchor>
  <cdr:relSizeAnchor xmlns:cdr="http://schemas.openxmlformats.org/drawingml/2006/chartDrawing">
    <cdr:from>
      <cdr:x>0.49625</cdr:x>
      <cdr:y>0.23025</cdr:y>
    </cdr:from>
    <cdr:to>
      <cdr:x>0.49625</cdr:x>
      <cdr:y>0.586</cdr:y>
    </cdr:to>
    <cdr:sp>
      <cdr:nvSpPr>
        <cdr:cNvPr id="4" name="Line 1"/>
        <cdr:cNvSpPr>
          <a:spLocks/>
        </cdr:cNvSpPr>
      </cdr:nvSpPr>
      <cdr:spPr>
        <a:xfrm>
          <a:off x="4581525" y="1323975"/>
          <a:ext cx="0" cy="20478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0.1725</cdr:x>
      <cdr:y>0.63025</cdr:y>
    </cdr:from>
    <cdr:to>
      <cdr:x>0.31025</cdr:x>
      <cdr:y>0.666</cdr:y>
    </cdr:to>
    <cdr:sp>
      <cdr:nvSpPr>
        <cdr:cNvPr id="5" name="TextBox 7"/>
        <cdr:cNvSpPr txBox="1">
          <a:spLocks noChangeArrowheads="1"/>
        </cdr:cNvSpPr>
      </cdr:nvSpPr>
      <cdr:spPr>
        <a:xfrm>
          <a:off x="1590675" y="3619500"/>
          <a:ext cx="127635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0.65575</cdr:x>
      <cdr:y>0.63075</cdr:y>
    </cdr:from>
    <cdr:to>
      <cdr:x>0.7885</cdr:x>
      <cdr:y>0.6665</cdr:y>
    </cdr:to>
    <cdr:sp>
      <cdr:nvSpPr>
        <cdr:cNvPr id="6" name="TextBox 9"/>
        <cdr:cNvSpPr txBox="1">
          <a:spLocks noChangeArrowheads="1"/>
        </cdr:cNvSpPr>
      </cdr:nvSpPr>
      <cdr:spPr>
        <a:xfrm>
          <a:off x="6057900" y="3619500"/>
          <a:ext cx="12287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0.17175</cdr:x>
      <cdr:y>0.66975</cdr:y>
    </cdr:from>
    <cdr:to>
      <cdr:x>0.30075</cdr:x>
      <cdr:y>0.70425</cdr:y>
    </cdr:to>
    <cdr:sp>
      <cdr:nvSpPr>
        <cdr:cNvPr id="7" name="TextBox 10"/>
        <cdr:cNvSpPr txBox="1">
          <a:spLocks noChangeArrowheads="1"/>
        </cdr:cNvSpPr>
      </cdr:nvSpPr>
      <cdr:spPr>
        <a:xfrm>
          <a:off x="1581150" y="3848100"/>
          <a:ext cx="11906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0.65475</cdr:x>
      <cdr:y>0.66975</cdr:y>
    </cdr:from>
    <cdr:to>
      <cdr:x>0.87575</cdr:x>
      <cdr:y>0.7005</cdr:y>
    </cdr:to>
    <cdr:sp>
      <cdr:nvSpPr>
        <cdr:cNvPr id="8" name="TextBox 11"/>
        <cdr:cNvSpPr txBox="1">
          <a:spLocks noChangeArrowheads="1"/>
        </cdr:cNvSpPr>
      </cdr:nvSpPr>
      <cdr:spPr>
        <a:xfrm>
          <a:off x="6048375" y="3848100"/>
          <a:ext cx="20383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0.17175</cdr:x>
      <cdr:y>0.692</cdr:y>
    </cdr:from>
    <cdr:to>
      <cdr:x>0.45725</cdr:x>
      <cdr:y>0.727</cdr:y>
    </cdr:to>
    <cdr:sp>
      <cdr:nvSpPr>
        <cdr:cNvPr id="9" name="TextBox 12"/>
        <cdr:cNvSpPr txBox="1">
          <a:spLocks noChangeArrowheads="1"/>
        </cdr:cNvSpPr>
      </cdr:nvSpPr>
      <cdr:spPr>
        <a:xfrm>
          <a:off x="1581150" y="3971925"/>
          <a:ext cx="26384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0.65475</cdr:x>
      <cdr:y>0.69075</cdr:y>
    </cdr:from>
    <cdr:to>
      <cdr:x>0.907</cdr:x>
      <cdr:y>0.726</cdr:y>
    </cdr:to>
    <cdr:sp>
      <cdr:nvSpPr>
        <cdr:cNvPr id="10" name="TextBox 13"/>
        <cdr:cNvSpPr txBox="1">
          <a:spLocks noChangeArrowheads="1"/>
        </cdr:cNvSpPr>
      </cdr:nvSpPr>
      <cdr:spPr>
        <a:xfrm>
          <a:off x="6048375" y="3971925"/>
          <a:ext cx="23336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0.17175</cdr:x>
      <cdr:y>0.714</cdr:y>
    </cdr:from>
    <cdr:to>
      <cdr:x>0.45725</cdr:x>
      <cdr:y>0.75075</cdr:y>
    </cdr:to>
    <cdr:sp>
      <cdr:nvSpPr>
        <cdr:cNvPr id="11" name="TextBox 15"/>
        <cdr:cNvSpPr txBox="1">
          <a:spLocks noChangeArrowheads="1"/>
        </cdr:cNvSpPr>
      </cdr:nvSpPr>
      <cdr:spPr>
        <a:xfrm>
          <a:off x="1581150" y="4105275"/>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0.65475</cdr:x>
      <cdr:y>0.713</cdr:y>
    </cdr:from>
    <cdr:to>
      <cdr:x>0.907</cdr:x>
      <cdr:y>0.74975</cdr:y>
    </cdr:to>
    <cdr:sp>
      <cdr:nvSpPr>
        <cdr:cNvPr id="12" name="TextBox 16"/>
        <cdr:cNvSpPr txBox="1">
          <a:spLocks noChangeArrowheads="1"/>
        </cdr:cNvSpPr>
      </cdr:nvSpPr>
      <cdr:spPr>
        <a:xfrm>
          <a:off x="6048375" y="4095750"/>
          <a:ext cx="23336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0.17175</cdr:x>
      <cdr:y>0.73525</cdr:y>
    </cdr:from>
    <cdr:to>
      <cdr:x>0.45725</cdr:x>
      <cdr:y>0.772</cdr:y>
    </cdr:to>
    <cdr:sp>
      <cdr:nvSpPr>
        <cdr:cNvPr id="13" name="TextBox 19"/>
        <cdr:cNvSpPr txBox="1">
          <a:spLocks noChangeArrowheads="1"/>
        </cdr:cNvSpPr>
      </cdr:nvSpPr>
      <cdr:spPr>
        <a:xfrm>
          <a:off x="1581150" y="42291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0.17175</cdr:x>
      <cdr:y>0.75575</cdr:y>
    </cdr:from>
    <cdr:to>
      <cdr:x>0.45725</cdr:x>
      <cdr:y>0.793</cdr:y>
    </cdr:to>
    <cdr:sp>
      <cdr:nvSpPr>
        <cdr:cNvPr id="14" name="TextBox 20"/>
        <cdr:cNvSpPr txBox="1">
          <a:spLocks noChangeArrowheads="1"/>
        </cdr:cNvSpPr>
      </cdr:nvSpPr>
      <cdr:spPr>
        <a:xfrm>
          <a:off x="1581150" y="43434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0.65575</cdr:x>
      <cdr:y>0.73525</cdr:y>
    </cdr:from>
    <cdr:to>
      <cdr:x>0.94125</cdr:x>
      <cdr:y>0.772</cdr:y>
    </cdr:to>
    <cdr:sp>
      <cdr:nvSpPr>
        <cdr:cNvPr id="15" name="TextBox 21"/>
        <cdr:cNvSpPr txBox="1">
          <a:spLocks noChangeArrowheads="1"/>
        </cdr:cNvSpPr>
      </cdr:nvSpPr>
      <cdr:spPr>
        <a:xfrm>
          <a:off x="6057900" y="42291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0.65575</cdr:x>
      <cdr:y>0.75575</cdr:y>
    </cdr:from>
    <cdr:to>
      <cdr:x>0.94125</cdr:x>
      <cdr:y>0.793</cdr:y>
    </cdr:to>
    <cdr:sp>
      <cdr:nvSpPr>
        <cdr:cNvPr id="16" name="TextBox 22"/>
        <cdr:cNvSpPr txBox="1">
          <a:spLocks noChangeArrowheads="1"/>
        </cdr:cNvSpPr>
      </cdr:nvSpPr>
      <cdr:spPr>
        <a:xfrm>
          <a:off x="6057900" y="43434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0.81975</cdr:x>
      <cdr:y>0</cdr:y>
    </cdr:from>
    <cdr:to>
      <cdr:x>1</cdr:x>
      <cdr:y>0.074</cdr:y>
    </cdr:to>
    <cdr:pic>
      <cdr:nvPicPr>
        <cdr:cNvPr id="17" name="Picture 23"/>
        <cdr:cNvPicPr preferRelativeResize="1">
          <a:picLocks noChangeAspect="1"/>
        </cdr:cNvPicPr>
      </cdr:nvPicPr>
      <cdr:blipFill>
        <a:blip r:embed="rId1"/>
        <a:stretch>
          <a:fillRect/>
        </a:stretch>
      </cdr:blipFill>
      <cdr:spPr>
        <a:xfrm>
          <a:off x="7572375" y="0"/>
          <a:ext cx="1666875" cy="42862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0.46875</cdr:x>
      <cdr:y>0.46375</cdr:y>
    </cdr:from>
    <cdr:to>
      <cdr:x>0.49525</cdr:x>
      <cdr:y>0.642</cdr:y>
    </cdr:to>
    <cdr:sp>
      <cdr:nvSpPr>
        <cdr:cNvPr id="1" name="TextBox 1"/>
        <cdr:cNvSpPr txBox="1">
          <a:spLocks noChangeArrowheads="1"/>
        </cdr:cNvSpPr>
      </cdr:nvSpPr>
      <cdr:spPr>
        <a:xfrm>
          <a:off x="4324350" y="2667000"/>
          <a:ext cx="247650" cy="1028700"/>
        </a:xfrm>
        <a:prstGeom prst="rect">
          <a:avLst/>
        </a:prstGeom>
        <a:noFill/>
        <a:ln w="9525" cmpd="sng">
          <a:noFill/>
        </a:ln>
      </cdr:spPr>
      <cdr:txBody>
        <a:bodyPr vertOverflow="clip" wrap="square" vert="vert270"/>
        <a:p>
          <a:pPr algn="l">
            <a:defRPr/>
          </a:pPr>
          <a:r>
            <a:rPr lang="en-US" cap="none" sz="960" b="0" i="0" u="none" baseline="0">
              <a:latin typeface="Arial"/>
              <a:ea typeface="Arial"/>
              <a:cs typeface="Arial"/>
            </a:rPr>
            <a:t>Gleisachse</a:t>
          </a:r>
        </a:p>
      </cdr:txBody>
    </cdr:sp>
  </cdr:relSizeAnchor>
  <cdr:relSizeAnchor xmlns:cdr="http://schemas.openxmlformats.org/drawingml/2006/chartDrawing">
    <cdr:from>
      <cdr:x>0.32625</cdr:x>
      <cdr:y>0.1465</cdr:y>
    </cdr:from>
    <cdr:to>
      <cdr:x>0.6605</cdr:x>
      <cdr:y>0.2155</cdr:y>
    </cdr:to>
    <cdr:sp>
      <cdr:nvSpPr>
        <cdr:cNvPr id="2" name="TextBox 2"/>
        <cdr:cNvSpPr txBox="1">
          <a:spLocks noChangeArrowheads="1"/>
        </cdr:cNvSpPr>
      </cdr:nvSpPr>
      <cdr:spPr>
        <a:xfrm>
          <a:off x="3009900" y="838200"/>
          <a:ext cx="3086100" cy="400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1-gleisiger Bettungsquerschnitt
u </a:t>
          </a:r>
          <a:r>
            <a:rPr lang="en-US" cap="none" sz="1200" b="1" i="0" u="none" baseline="0">
              <a:latin typeface="Arial"/>
              <a:ea typeface="Arial"/>
              <a:cs typeface="Arial"/>
            </a:rPr>
            <a:t>≥ 75</a:t>
          </a:r>
          <a:r>
            <a:rPr lang="en-US" cap="none" sz="1200" b="1" i="0" u="none" baseline="0">
              <a:latin typeface="Arial"/>
              <a:ea typeface="Arial"/>
              <a:cs typeface="Arial"/>
            </a:rPr>
            <a:t>mm</a:t>
          </a:r>
        </a:p>
      </cdr:txBody>
    </cdr:sp>
  </cdr:relSizeAnchor>
  <cdr:relSizeAnchor xmlns:cdr="http://schemas.openxmlformats.org/drawingml/2006/chartDrawing">
    <cdr:from>
      <cdr:x>0.01825</cdr:x>
      <cdr:y>0.1865</cdr:y>
    </cdr:from>
    <cdr:to>
      <cdr:x>0.1575</cdr:x>
      <cdr:y>0.23075</cdr:y>
    </cdr:to>
    <cdr:sp>
      <cdr:nvSpPr>
        <cdr:cNvPr id="3" name="TextBox 3"/>
        <cdr:cNvSpPr txBox="1">
          <a:spLocks noChangeArrowheads="1"/>
        </cdr:cNvSpPr>
      </cdr:nvSpPr>
      <cdr:spPr>
        <a:xfrm>
          <a:off x="161925" y="1066800"/>
          <a:ext cx="1285875" cy="257175"/>
        </a:xfrm>
        <a:prstGeom prst="rect">
          <a:avLst/>
        </a:prstGeom>
        <a:noFill/>
        <a:ln w="9525" cmpd="sng">
          <a:noFill/>
        </a:ln>
      </cdr:spPr>
      <cdr:txBody>
        <a:bodyPr vertOverflow="clip" wrap="square"/>
        <a:p>
          <a:pPr algn="l">
            <a:defRPr/>
          </a:pPr>
          <a:r>
            <a:rPr lang="en-US" cap="none" sz="960" b="0" i="0" u="none" baseline="0">
              <a:latin typeface="Arial"/>
              <a:ea typeface="Arial"/>
              <a:cs typeface="Arial"/>
            </a:rPr>
            <a:t>Maßeinheiten in [m]</a:t>
          </a:r>
        </a:p>
      </cdr:txBody>
    </cdr:sp>
  </cdr:relSizeAnchor>
  <cdr:relSizeAnchor xmlns:cdr="http://schemas.openxmlformats.org/drawingml/2006/chartDrawing">
    <cdr:from>
      <cdr:x>0.49625</cdr:x>
      <cdr:y>0.23025</cdr:y>
    </cdr:from>
    <cdr:to>
      <cdr:x>0.49625</cdr:x>
      <cdr:y>0.586</cdr:y>
    </cdr:to>
    <cdr:sp>
      <cdr:nvSpPr>
        <cdr:cNvPr id="4" name="Line 4"/>
        <cdr:cNvSpPr>
          <a:spLocks/>
        </cdr:cNvSpPr>
      </cdr:nvSpPr>
      <cdr:spPr>
        <a:xfrm>
          <a:off x="4581525" y="1323975"/>
          <a:ext cx="0" cy="20478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0.1725</cdr:x>
      <cdr:y>0.6305</cdr:y>
    </cdr:from>
    <cdr:to>
      <cdr:x>0.31025</cdr:x>
      <cdr:y>0.666</cdr:y>
    </cdr:to>
    <cdr:sp>
      <cdr:nvSpPr>
        <cdr:cNvPr id="5" name="TextBox 5"/>
        <cdr:cNvSpPr txBox="1">
          <a:spLocks noChangeArrowheads="1"/>
        </cdr:cNvSpPr>
      </cdr:nvSpPr>
      <cdr:spPr>
        <a:xfrm>
          <a:off x="1590675" y="3619500"/>
          <a:ext cx="12763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0.65575</cdr:x>
      <cdr:y>0.631</cdr:y>
    </cdr:from>
    <cdr:to>
      <cdr:x>0.7885</cdr:x>
      <cdr:y>0.6665</cdr:y>
    </cdr:to>
    <cdr:sp>
      <cdr:nvSpPr>
        <cdr:cNvPr id="6" name="TextBox 6"/>
        <cdr:cNvSpPr txBox="1">
          <a:spLocks noChangeArrowheads="1"/>
        </cdr:cNvSpPr>
      </cdr:nvSpPr>
      <cdr:spPr>
        <a:xfrm>
          <a:off x="6057900" y="3629025"/>
          <a:ext cx="12287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0.17175</cdr:x>
      <cdr:y>0.67</cdr:y>
    </cdr:from>
    <cdr:to>
      <cdr:x>0.30075</cdr:x>
      <cdr:y>0.7045</cdr:y>
    </cdr:to>
    <cdr:sp>
      <cdr:nvSpPr>
        <cdr:cNvPr id="7" name="TextBox 7"/>
        <cdr:cNvSpPr txBox="1">
          <a:spLocks noChangeArrowheads="1"/>
        </cdr:cNvSpPr>
      </cdr:nvSpPr>
      <cdr:spPr>
        <a:xfrm>
          <a:off x="1581150" y="3848100"/>
          <a:ext cx="11906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0.65475</cdr:x>
      <cdr:y>0.67</cdr:y>
    </cdr:from>
    <cdr:to>
      <cdr:x>0.87575</cdr:x>
      <cdr:y>0.7005</cdr:y>
    </cdr:to>
    <cdr:sp>
      <cdr:nvSpPr>
        <cdr:cNvPr id="8" name="TextBox 8"/>
        <cdr:cNvSpPr txBox="1">
          <a:spLocks noChangeArrowheads="1"/>
        </cdr:cNvSpPr>
      </cdr:nvSpPr>
      <cdr:spPr>
        <a:xfrm>
          <a:off x="6048375" y="3848100"/>
          <a:ext cx="20383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0.17175</cdr:x>
      <cdr:y>0.692</cdr:y>
    </cdr:from>
    <cdr:to>
      <cdr:x>0.45725</cdr:x>
      <cdr:y>0.727</cdr:y>
    </cdr:to>
    <cdr:sp>
      <cdr:nvSpPr>
        <cdr:cNvPr id="9" name="TextBox 9"/>
        <cdr:cNvSpPr txBox="1">
          <a:spLocks noChangeArrowheads="1"/>
        </cdr:cNvSpPr>
      </cdr:nvSpPr>
      <cdr:spPr>
        <a:xfrm>
          <a:off x="1581150" y="3971925"/>
          <a:ext cx="26384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0.65475</cdr:x>
      <cdr:y>0.691</cdr:y>
    </cdr:from>
    <cdr:to>
      <cdr:x>0.907</cdr:x>
      <cdr:y>0.726</cdr:y>
    </cdr:to>
    <cdr:sp>
      <cdr:nvSpPr>
        <cdr:cNvPr id="10" name="TextBox 10"/>
        <cdr:cNvSpPr txBox="1">
          <a:spLocks noChangeArrowheads="1"/>
        </cdr:cNvSpPr>
      </cdr:nvSpPr>
      <cdr:spPr>
        <a:xfrm>
          <a:off x="6048375" y="3971925"/>
          <a:ext cx="23336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0.17175</cdr:x>
      <cdr:y>0.714</cdr:y>
    </cdr:from>
    <cdr:to>
      <cdr:x>0.45725</cdr:x>
      <cdr:y>0.751</cdr:y>
    </cdr:to>
    <cdr:sp>
      <cdr:nvSpPr>
        <cdr:cNvPr id="11" name="TextBox 11"/>
        <cdr:cNvSpPr txBox="1">
          <a:spLocks noChangeArrowheads="1"/>
        </cdr:cNvSpPr>
      </cdr:nvSpPr>
      <cdr:spPr>
        <a:xfrm>
          <a:off x="1581150" y="4105275"/>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0.65475</cdr:x>
      <cdr:y>0.713</cdr:y>
    </cdr:from>
    <cdr:to>
      <cdr:x>0.907</cdr:x>
      <cdr:y>0.75</cdr:y>
    </cdr:to>
    <cdr:sp>
      <cdr:nvSpPr>
        <cdr:cNvPr id="12" name="TextBox 12"/>
        <cdr:cNvSpPr txBox="1">
          <a:spLocks noChangeArrowheads="1"/>
        </cdr:cNvSpPr>
      </cdr:nvSpPr>
      <cdr:spPr>
        <a:xfrm>
          <a:off x="6048375" y="4095750"/>
          <a:ext cx="23336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0.17175</cdr:x>
      <cdr:y>0.7355</cdr:y>
    </cdr:from>
    <cdr:to>
      <cdr:x>0.45725</cdr:x>
      <cdr:y>0.772</cdr:y>
    </cdr:to>
    <cdr:sp>
      <cdr:nvSpPr>
        <cdr:cNvPr id="13" name="TextBox 13"/>
        <cdr:cNvSpPr txBox="1">
          <a:spLocks noChangeArrowheads="1"/>
        </cdr:cNvSpPr>
      </cdr:nvSpPr>
      <cdr:spPr>
        <a:xfrm>
          <a:off x="1581150" y="42291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0.17175</cdr:x>
      <cdr:y>0.756</cdr:y>
    </cdr:from>
    <cdr:to>
      <cdr:x>0.45725</cdr:x>
      <cdr:y>0.793</cdr:y>
    </cdr:to>
    <cdr:sp>
      <cdr:nvSpPr>
        <cdr:cNvPr id="14" name="TextBox 14"/>
        <cdr:cNvSpPr txBox="1">
          <a:spLocks noChangeArrowheads="1"/>
        </cdr:cNvSpPr>
      </cdr:nvSpPr>
      <cdr:spPr>
        <a:xfrm>
          <a:off x="1581150" y="43434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0.65575</cdr:x>
      <cdr:y>0.7355</cdr:y>
    </cdr:from>
    <cdr:to>
      <cdr:x>0.94125</cdr:x>
      <cdr:y>0.772</cdr:y>
    </cdr:to>
    <cdr:sp>
      <cdr:nvSpPr>
        <cdr:cNvPr id="15" name="TextBox 15"/>
        <cdr:cNvSpPr txBox="1">
          <a:spLocks noChangeArrowheads="1"/>
        </cdr:cNvSpPr>
      </cdr:nvSpPr>
      <cdr:spPr>
        <a:xfrm>
          <a:off x="6057900" y="42291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0.65575</cdr:x>
      <cdr:y>0.756</cdr:y>
    </cdr:from>
    <cdr:to>
      <cdr:x>0.94125</cdr:x>
      <cdr:y>0.793</cdr:y>
    </cdr:to>
    <cdr:sp>
      <cdr:nvSpPr>
        <cdr:cNvPr id="16" name="TextBox 16"/>
        <cdr:cNvSpPr txBox="1">
          <a:spLocks noChangeArrowheads="1"/>
        </cdr:cNvSpPr>
      </cdr:nvSpPr>
      <cdr:spPr>
        <a:xfrm>
          <a:off x="6057900" y="4343400"/>
          <a:ext cx="2638425"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0.81975</cdr:x>
      <cdr:y>0</cdr:y>
    </cdr:from>
    <cdr:to>
      <cdr:x>1</cdr:x>
      <cdr:y>0.074</cdr:y>
    </cdr:to>
    <cdr:pic>
      <cdr:nvPicPr>
        <cdr:cNvPr id="17" name="Picture 17"/>
        <cdr:cNvPicPr preferRelativeResize="1">
          <a:picLocks noChangeAspect="1"/>
        </cdr:cNvPicPr>
      </cdr:nvPicPr>
      <cdr:blipFill>
        <a:blip r:embed="rId1"/>
        <a:stretch>
          <a:fillRect/>
        </a:stretch>
      </cdr:blipFill>
      <cdr:spPr>
        <a:xfrm>
          <a:off x="7572375" y="0"/>
          <a:ext cx="1666875" cy="428625"/>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0.463</cdr:y>
    </cdr:from>
    <cdr:to>
      <cdr:x>0.49525</cdr:x>
      <cdr:y>0.64125</cdr:y>
    </cdr:to>
    <cdr:sp>
      <cdr:nvSpPr>
        <cdr:cNvPr id="1" name="TextBox 1"/>
        <cdr:cNvSpPr txBox="1">
          <a:spLocks noChangeArrowheads="1"/>
        </cdr:cNvSpPr>
      </cdr:nvSpPr>
      <cdr:spPr>
        <a:xfrm>
          <a:off x="4333875" y="2657475"/>
          <a:ext cx="238125" cy="1028700"/>
        </a:xfrm>
        <a:prstGeom prst="rect">
          <a:avLst/>
        </a:prstGeom>
        <a:noFill/>
        <a:ln w="9525" cmpd="sng">
          <a:noFill/>
        </a:ln>
      </cdr:spPr>
      <cdr:txBody>
        <a:bodyPr vertOverflow="clip" wrap="square" vert="vert270"/>
        <a:p>
          <a:pPr algn="l">
            <a:defRPr/>
          </a:pPr>
          <a:r>
            <a:rPr lang="en-US" cap="none" sz="960" b="0" i="0" u="none" baseline="0">
              <a:latin typeface="Arial"/>
              <a:ea typeface="Arial"/>
              <a:cs typeface="Arial"/>
            </a:rPr>
            <a:t>Gleisachse</a:t>
          </a:r>
        </a:p>
      </cdr:txBody>
    </cdr:sp>
  </cdr:relSizeAnchor>
  <cdr:relSizeAnchor xmlns:cdr="http://schemas.openxmlformats.org/drawingml/2006/chartDrawing">
    <cdr:from>
      <cdr:x>0.3255</cdr:x>
      <cdr:y>0.1465</cdr:y>
    </cdr:from>
    <cdr:to>
      <cdr:x>0.6585</cdr:x>
      <cdr:y>0.2155</cdr:y>
    </cdr:to>
    <cdr:sp>
      <cdr:nvSpPr>
        <cdr:cNvPr id="2" name="TextBox 2"/>
        <cdr:cNvSpPr txBox="1">
          <a:spLocks noChangeArrowheads="1"/>
        </cdr:cNvSpPr>
      </cdr:nvSpPr>
      <cdr:spPr>
        <a:xfrm>
          <a:off x="3000375" y="838200"/>
          <a:ext cx="3076575" cy="400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1-gleisiger Bettungsquerschnitt
u &lt;</a:t>
          </a:r>
          <a:r>
            <a:rPr lang="en-US" cap="none" sz="1200" b="1" i="0" u="none" baseline="0">
              <a:latin typeface="Arial"/>
              <a:ea typeface="Arial"/>
              <a:cs typeface="Arial"/>
            </a:rPr>
            <a:t> 75</a:t>
          </a:r>
          <a:r>
            <a:rPr lang="en-US" cap="none" sz="1200" b="1" i="0" u="none" baseline="0">
              <a:latin typeface="Arial"/>
              <a:ea typeface="Arial"/>
              <a:cs typeface="Arial"/>
            </a:rPr>
            <a:t>mm</a:t>
          </a:r>
        </a:p>
      </cdr:txBody>
    </cdr:sp>
  </cdr:relSizeAnchor>
  <cdr:relSizeAnchor xmlns:cdr="http://schemas.openxmlformats.org/drawingml/2006/chartDrawing">
    <cdr:from>
      <cdr:x>0.01825</cdr:x>
      <cdr:y>0.1865</cdr:y>
    </cdr:from>
    <cdr:to>
      <cdr:x>0.1575</cdr:x>
      <cdr:y>0.23075</cdr:y>
    </cdr:to>
    <cdr:sp>
      <cdr:nvSpPr>
        <cdr:cNvPr id="3" name="TextBox 3"/>
        <cdr:cNvSpPr txBox="1">
          <a:spLocks noChangeArrowheads="1"/>
        </cdr:cNvSpPr>
      </cdr:nvSpPr>
      <cdr:spPr>
        <a:xfrm>
          <a:off x="161925" y="1066800"/>
          <a:ext cx="1285875" cy="257175"/>
        </a:xfrm>
        <a:prstGeom prst="rect">
          <a:avLst/>
        </a:prstGeom>
        <a:noFill/>
        <a:ln w="9525" cmpd="sng">
          <a:noFill/>
        </a:ln>
      </cdr:spPr>
      <cdr:txBody>
        <a:bodyPr vertOverflow="clip" wrap="square"/>
        <a:p>
          <a:pPr algn="l">
            <a:defRPr/>
          </a:pPr>
          <a:r>
            <a:rPr lang="en-US" cap="none" sz="960" b="0" i="0" u="none" baseline="0">
              <a:latin typeface="Arial"/>
              <a:ea typeface="Arial"/>
              <a:cs typeface="Arial"/>
            </a:rPr>
            <a:t>Maßeinheiten in [m]</a:t>
          </a:r>
        </a:p>
      </cdr:txBody>
    </cdr:sp>
  </cdr:relSizeAnchor>
  <cdr:relSizeAnchor xmlns:cdr="http://schemas.openxmlformats.org/drawingml/2006/chartDrawing">
    <cdr:from>
      <cdr:x>0.49625</cdr:x>
      <cdr:y>0.23025</cdr:y>
    </cdr:from>
    <cdr:to>
      <cdr:x>0.49625</cdr:x>
      <cdr:y>0.58625</cdr:y>
    </cdr:to>
    <cdr:sp>
      <cdr:nvSpPr>
        <cdr:cNvPr id="4" name="Line 4"/>
        <cdr:cNvSpPr>
          <a:spLocks/>
        </cdr:cNvSpPr>
      </cdr:nvSpPr>
      <cdr:spPr>
        <a:xfrm>
          <a:off x="4581525" y="1323975"/>
          <a:ext cx="0" cy="20478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0.17175</cdr:x>
      <cdr:y>0.6305</cdr:y>
    </cdr:from>
    <cdr:to>
      <cdr:x>0.30925</cdr:x>
      <cdr:y>0.66575</cdr:y>
    </cdr:to>
    <cdr:sp>
      <cdr:nvSpPr>
        <cdr:cNvPr id="5" name="TextBox 5"/>
        <cdr:cNvSpPr txBox="1">
          <a:spLocks noChangeArrowheads="1"/>
        </cdr:cNvSpPr>
      </cdr:nvSpPr>
      <cdr:spPr>
        <a:xfrm>
          <a:off x="1581150" y="3619500"/>
          <a:ext cx="12668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0.65375</cdr:x>
      <cdr:y>0.631</cdr:y>
    </cdr:from>
    <cdr:to>
      <cdr:x>0.78575</cdr:x>
      <cdr:y>0.66625</cdr:y>
    </cdr:to>
    <cdr:sp>
      <cdr:nvSpPr>
        <cdr:cNvPr id="6" name="TextBox 6"/>
        <cdr:cNvSpPr txBox="1">
          <a:spLocks noChangeArrowheads="1"/>
        </cdr:cNvSpPr>
      </cdr:nvSpPr>
      <cdr:spPr>
        <a:xfrm>
          <a:off x="6038850" y="3629025"/>
          <a:ext cx="12192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t/m Gleisschotter</a:t>
          </a:r>
        </a:p>
      </cdr:txBody>
    </cdr:sp>
  </cdr:relSizeAnchor>
  <cdr:relSizeAnchor xmlns:cdr="http://schemas.openxmlformats.org/drawingml/2006/chartDrawing">
    <cdr:from>
      <cdr:x>0.17175</cdr:x>
      <cdr:y>0.66975</cdr:y>
    </cdr:from>
    <cdr:to>
      <cdr:x>0.29975</cdr:x>
      <cdr:y>0.704</cdr:y>
    </cdr:to>
    <cdr:sp>
      <cdr:nvSpPr>
        <cdr:cNvPr id="7" name="TextBox 7"/>
        <cdr:cNvSpPr txBox="1">
          <a:spLocks noChangeArrowheads="1"/>
        </cdr:cNvSpPr>
      </cdr:nvSpPr>
      <cdr:spPr>
        <a:xfrm>
          <a:off x="1581150" y="3848100"/>
          <a:ext cx="11811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0.65275</cdr:x>
      <cdr:y>0.66975</cdr:y>
    </cdr:from>
    <cdr:to>
      <cdr:x>0.873</cdr:x>
      <cdr:y>0.70075</cdr:y>
    </cdr:to>
    <cdr:sp>
      <cdr:nvSpPr>
        <cdr:cNvPr id="8" name="TextBox 8"/>
        <cdr:cNvSpPr txBox="1">
          <a:spLocks noChangeArrowheads="1"/>
        </cdr:cNvSpPr>
      </cdr:nvSpPr>
      <cdr:spPr>
        <a:xfrm>
          <a:off x="6029325" y="3848100"/>
          <a:ext cx="20383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Gleisabstand</a:t>
          </a:r>
        </a:p>
      </cdr:txBody>
    </cdr:sp>
  </cdr:relSizeAnchor>
  <cdr:relSizeAnchor xmlns:cdr="http://schemas.openxmlformats.org/drawingml/2006/chartDrawing">
    <cdr:from>
      <cdr:x>0.17175</cdr:x>
      <cdr:y>0.69175</cdr:y>
    </cdr:from>
    <cdr:to>
      <cdr:x>0.45625</cdr:x>
      <cdr:y>0.72725</cdr:y>
    </cdr:to>
    <cdr:sp>
      <cdr:nvSpPr>
        <cdr:cNvPr id="9" name="TextBox 9"/>
        <cdr:cNvSpPr txBox="1">
          <a:spLocks noChangeArrowheads="1"/>
        </cdr:cNvSpPr>
      </cdr:nvSpPr>
      <cdr:spPr>
        <a:xfrm>
          <a:off x="1581150" y="3971925"/>
          <a:ext cx="26289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0.65275</cdr:x>
      <cdr:y>0.69075</cdr:y>
    </cdr:from>
    <cdr:to>
      <cdr:x>0.90425</cdr:x>
      <cdr:y>0.72625</cdr:y>
    </cdr:to>
    <cdr:sp>
      <cdr:nvSpPr>
        <cdr:cNvPr id="10" name="TextBox 10"/>
        <cdr:cNvSpPr txBox="1">
          <a:spLocks noChangeArrowheads="1"/>
        </cdr:cNvSpPr>
      </cdr:nvSpPr>
      <cdr:spPr>
        <a:xfrm>
          <a:off x="6029325" y="3971925"/>
          <a:ext cx="232410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unterhalb der Schwelle</a:t>
          </a:r>
        </a:p>
      </cdr:txBody>
    </cdr:sp>
  </cdr:relSizeAnchor>
  <cdr:relSizeAnchor xmlns:cdr="http://schemas.openxmlformats.org/drawingml/2006/chartDrawing">
    <cdr:from>
      <cdr:x>0.17175</cdr:x>
      <cdr:y>0.714</cdr:y>
    </cdr:from>
    <cdr:to>
      <cdr:x>0.45625</cdr:x>
      <cdr:y>0.75075</cdr:y>
    </cdr:to>
    <cdr:sp>
      <cdr:nvSpPr>
        <cdr:cNvPr id="11" name="TextBox 11"/>
        <cdr:cNvSpPr txBox="1">
          <a:spLocks noChangeArrowheads="1"/>
        </cdr:cNvSpPr>
      </cdr:nvSpPr>
      <cdr:spPr>
        <a:xfrm>
          <a:off x="1581150" y="4105275"/>
          <a:ext cx="2628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0.65275</cdr:x>
      <cdr:y>0.713</cdr:y>
    </cdr:from>
    <cdr:to>
      <cdr:x>0.90425</cdr:x>
      <cdr:y>0.74975</cdr:y>
    </cdr:to>
    <cdr:sp>
      <cdr:nvSpPr>
        <cdr:cNvPr id="12" name="TextBox 12"/>
        <cdr:cNvSpPr txBox="1">
          <a:spLocks noChangeArrowheads="1"/>
        </cdr:cNvSpPr>
      </cdr:nvSpPr>
      <cdr:spPr>
        <a:xfrm>
          <a:off x="6029325" y="4095750"/>
          <a:ext cx="23241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mm Überhöhung</a:t>
          </a:r>
        </a:p>
      </cdr:txBody>
    </cdr:sp>
  </cdr:relSizeAnchor>
  <cdr:relSizeAnchor xmlns:cdr="http://schemas.openxmlformats.org/drawingml/2006/chartDrawing">
    <cdr:from>
      <cdr:x>0.17175</cdr:x>
      <cdr:y>0.735</cdr:y>
    </cdr:from>
    <cdr:to>
      <cdr:x>0.45625</cdr:x>
      <cdr:y>0.772</cdr:y>
    </cdr:to>
    <cdr:sp>
      <cdr:nvSpPr>
        <cdr:cNvPr id="13" name="TextBox 13"/>
        <cdr:cNvSpPr txBox="1">
          <a:spLocks noChangeArrowheads="1"/>
        </cdr:cNvSpPr>
      </cdr:nvSpPr>
      <cdr:spPr>
        <a:xfrm>
          <a:off x="1581150" y="4219575"/>
          <a:ext cx="2628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0.17175</cdr:x>
      <cdr:y>0.75575</cdr:y>
    </cdr:from>
    <cdr:to>
      <cdr:x>0.45625</cdr:x>
      <cdr:y>0.793</cdr:y>
    </cdr:to>
    <cdr:sp>
      <cdr:nvSpPr>
        <cdr:cNvPr id="14" name="TextBox 14"/>
        <cdr:cNvSpPr txBox="1">
          <a:spLocks noChangeArrowheads="1"/>
        </cdr:cNvSpPr>
      </cdr:nvSpPr>
      <cdr:spPr>
        <a:xfrm>
          <a:off x="1581150" y="4343400"/>
          <a:ext cx="2628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0.65375</cdr:x>
      <cdr:y>0.735</cdr:y>
    </cdr:from>
    <cdr:to>
      <cdr:x>0.9385</cdr:x>
      <cdr:y>0.772</cdr:y>
    </cdr:to>
    <cdr:sp>
      <cdr:nvSpPr>
        <cdr:cNvPr id="15" name="TextBox 15"/>
        <cdr:cNvSpPr txBox="1">
          <a:spLocks noChangeArrowheads="1"/>
        </cdr:cNvSpPr>
      </cdr:nvSpPr>
      <cdr:spPr>
        <a:xfrm>
          <a:off x="6038850" y="4219575"/>
          <a:ext cx="2628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Schwellenabstand</a:t>
          </a:r>
        </a:p>
      </cdr:txBody>
    </cdr:sp>
  </cdr:relSizeAnchor>
  <cdr:relSizeAnchor xmlns:cdr="http://schemas.openxmlformats.org/drawingml/2006/chartDrawing">
    <cdr:from>
      <cdr:x>0.65375</cdr:x>
      <cdr:y>0.75575</cdr:y>
    </cdr:from>
    <cdr:to>
      <cdr:x>0.9385</cdr:x>
      <cdr:y>0.793</cdr:y>
    </cdr:to>
    <cdr:sp>
      <cdr:nvSpPr>
        <cdr:cNvPr id="16" name="TextBox 16"/>
        <cdr:cNvSpPr txBox="1">
          <a:spLocks noChangeArrowheads="1"/>
        </cdr:cNvSpPr>
      </cdr:nvSpPr>
      <cdr:spPr>
        <a:xfrm>
          <a:off x="6038850" y="4343400"/>
          <a:ext cx="26289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m Schotter vor Kopf</a:t>
          </a:r>
        </a:p>
      </cdr:txBody>
    </cdr:sp>
  </cdr:relSizeAnchor>
  <cdr:relSizeAnchor xmlns:cdr="http://schemas.openxmlformats.org/drawingml/2006/chartDrawing">
    <cdr:from>
      <cdr:x>0.81975</cdr:x>
      <cdr:y>0</cdr:y>
    </cdr:from>
    <cdr:to>
      <cdr:x>1</cdr:x>
      <cdr:y>0.074</cdr:y>
    </cdr:to>
    <cdr:pic>
      <cdr:nvPicPr>
        <cdr:cNvPr id="17" name="Picture 17"/>
        <cdr:cNvPicPr preferRelativeResize="1">
          <a:picLocks noChangeAspect="1"/>
        </cdr:cNvPicPr>
      </cdr:nvPicPr>
      <cdr:blipFill>
        <a:blip r:embed="rId1"/>
        <a:stretch>
          <a:fillRect/>
        </a:stretch>
      </cdr:blipFill>
      <cdr:spPr>
        <a:xfrm>
          <a:off x="7572375" y="0"/>
          <a:ext cx="1666875" cy="428625"/>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4">
      <selection activeCell="A2" sqref="A2"/>
    </sheetView>
  </sheetViews>
  <sheetFormatPr defaultColWidth="11.421875" defaultRowHeight="12.75"/>
  <sheetData/>
  <sheetProtection password="8B5E" sheet="1" objects="1" scenarios="1"/>
  <printOptions/>
  <pageMargins left="0.75" right="0.75" top="1" bottom="1" header="0.4921259845" footer="0.4921259845"/>
  <pageSetup horizontalDpi="600" verticalDpi="600" orientation="portrait" paperSize="9" r:id="rId2"/>
  <headerFooter alignWithMargins="0">
    <oddFooter>&amp;RStand 28.04.2005</oddFooter>
  </headerFooter>
  <drawing r:id="rId1"/>
</worksheet>
</file>

<file path=xl/worksheets/sheet2.xml><?xml version="1.0" encoding="utf-8"?>
<worksheet xmlns="http://schemas.openxmlformats.org/spreadsheetml/2006/main" xmlns:r="http://schemas.openxmlformats.org/officeDocument/2006/relationships">
  <sheetPr codeName="Tabelle1"/>
  <dimension ref="A1:BB84"/>
  <sheetViews>
    <sheetView showGridLines="0" workbookViewId="0" topLeftCell="A17">
      <selection activeCell="BC21" sqref="BC21"/>
    </sheetView>
  </sheetViews>
  <sheetFormatPr defaultColWidth="11.421875" defaultRowHeight="12.75"/>
  <cols>
    <col min="2" max="2" width="5.8515625" style="0" customWidth="1"/>
    <col min="3" max="3" width="11.8515625" style="0" customWidth="1"/>
    <col min="4" max="4" width="6.7109375" style="0" customWidth="1"/>
    <col min="5" max="5" width="0.13671875" style="0" customWidth="1"/>
    <col min="6" max="6" width="2.7109375" style="0" hidden="1" customWidth="1"/>
    <col min="7" max="7" width="11.421875" style="0" hidden="1" customWidth="1"/>
    <col min="8" max="8" width="2.8515625" style="0" hidden="1" customWidth="1"/>
    <col min="11" max="11" width="5.28125" style="0" customWidth="1"/>
    <col min="12" max="12" width="2.7109375" style="0" customWidth="1"/>
    <col min="13" max="13" width="2.00390625" style="0" customWidth="1"/>
    <col min="14" max="14" width="9.28125" style="0" customWidth="1"/>
    <col min="15" max="15" width="9.8515625" style="0" customWidth="1"/>
    <col min="16" max="16" width="0.42578125" style="0" customWidth="1"/>
    <col min="17" max="17" width="0.2890625" style="0" hidden="1" customWidth="1"/>
    <col min="18" max="18" width="4.57421875" style="0" hidden="1" customWidth="1"/>
    <col min="19" max="19" width="5.00390625" style="0" hidden="1" customWidth="1"/>
    <col min="20" max="20" width="10.140625" style="0" hidden="1" customWidth="1"/>
    <col min="21" max="21" width="6.140625" style="0" hidden="1" customWidth="1"/>
    <col min="22" max="22" width="5.7109375" style="0" hidden="1" customWidth="1"/>
    <col min="23" max="23" width="6.28125" style="0" hidden="1" customWidth="1"/>
    <col min="24" max="24" width="6.8515625" style="0" hidden="1" customWidth="1"/>
    <col min="25" max="25" width="6.28125" style="0" hidden="1" customWidth="1"/>
    <col min="26" max="26" width="6.140625" style="0" hidden="1" customWidth="1"/>
    <col min="27" max="27" width="5.8515625" style="0" hidden="1" customWidth="1"/>
    <col min="28" max="28" width="6.00390625" style="0" hidden="1" customWidth="1"/>
    <col min="29" max="29" width="5.28125" style="0" hidden="1" customWidth="1"/>
    <col min="30" max="30" width="4.7109375" style="0" hidden="1" customWidth="1"/>
    <col min="31" max="31" width="5.8515625" style="0" hidden="1" customWidth="1"/>
    <col min="32" max="32" width="3.8515625" style="0" hidden="1" customWidth="1"/>
    <col min="33" max="33" width="3.7109375" style="0" hidden="1" customWidth="1"/>
    <col min="34" max="34" width="4.7109375" style="0" hidden="1" customWidth="1"/>
    <col min="35" max="35" width="7.00390625" style="0" hidden="1" customWidth="1"/>
    <col min="36" max="36" width="6.28125" style="0" hidden="1" customWidth="1"/>
    <col min="37" max="37" width="6.421875" style="0" hidden="1" customWidth="1"/>
    <col min="38" max="38" width="12.140625" style="0" hidden="1" customWidth="1"/>
    <col min="39" max="39" width="7.7109375" style="0" hidden="1" customWidth="1"/>
    <col min="40" max="40" width="7.421875" style="0" hidden="1" customWidth="1"/>
    <col min="41" max="41" width="8.00390625" style="0" hidden="1" customWidth="1"/>
    <col min="42" max="42" width="6.57421875" style="0" hidden="1" customWidth="1"/>
    <col min="43" max="43" width="3.57421875" style="0" hidden="1" customWidth="1"/>
    <col min="44" max="44" width="5.140625" style="0" hidden="1" customWidth="1"/>
    <col min="45" max="45" width="9.421875" style="0" hidden="1" customWidth="1"/>
    <col min="46" max="46" width="0.71875" style="0" hidden="1" customWidth="1"/>
    <col min="47" max="47" width="11.57421875" style="0" hidden="1" customWidth="1"/>
    <col min="48" max="48" width="13.00390625" style="0" hidden="1" customWidth="1"/>
    <col min="49" max="49" width="13.57421875" style="0" hidden="1" customWidth="1"/>
    <col min="50" max="50" width="6.00390625" style="0" hidden="1" customWidth="1"/>
    <col min="51" max="51" width="15.28125" style="0" hidden="1" customWidth="1"/>
    <col min="52" max="52" width="1.57421875" style="0" customWidth="1"/>
  </cols>
  <sheetData>
    <row r="1" spans="1:52" ht="12.75">
      <c r="A1" s="34"/>
      <c r="B1" s="34"/>
      <c r="C1" s="34"/>
      <c r="D1" s="34"/>
      <c r="E1" s="34"/>
      <c r="F1" s="34"/>
      <c r="G1" s="34"/>
      <c r="H1" s="34"/>
      <c r="I1" s="34"/>
      <c r="J1" s="34"/>
      <c r="K1" s="34"/>
      <c r="L1" s="34"/>
      <c r="M1" s="34"/>
      <c r="N1" s="61"/>
      <c r="O1" s="110"/>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ht="12.7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12.7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ht="15.75">
      <c r="A4" s="59" t="s">
        <v>137</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ht="18" customHeight="1">
      <c r="A5" s="34"/>
      <c r="B5" s="34"/>
      <c r="C5" s="34"/>
      <c r="D5" s="34"/>
      <c r="E5" s="34"/>
      <c r="F5" s="34"/>
      <c r="G5" s="34"/>
      <c r="H5" s="34"/>
      <c r="I5" s="34"/>
      <c r="J5" s="34"/>
      <c r="K5" s="34"/>
      <c r="L5" s="34"/>
      <c r="M5" s="34"/>
      <c r="N5" s="34"/>
      <c r="O5" s="34"/>
      <c r="P5" s="34"/>
      <c r="Q5" s="34"/>
      <c r="R5" s="34"/>
      <c r="S5" s="34"/>
      <c r="T5" s="34"/>
      <c r="U5" s="34"/>
      <c r="V5" s="34"/>
      <c r="W5" s="77"/>
      <c r="X5" s="40"/>
      <c r="Y5" s="40"/>
      <c r="Z5" s="40"/>
      <c r="AA5" s="40"/>
      <c r="AB5" s="40"/>
      <c r="AC5" s="40"/>
      <c r="AD5" s="40"/>
      <c r="AE5" s="40"/>
      <c r="AF5" s="40"/>
      <c r="AG5" s="40"/>
      <c r="AH5" s="40"/>
      <c r="AI5" s="40"/>
      <c r="AJ5" s="40"/>
      <c r="AK5" s="40"/>
      <c r="AL5" s="78"/>
      <c r="AM5" s="34" t="s">
        <v>139</v>
      </c>
      <c r="AN5" s="34"/>
      <c r="AO5" s="34"/>
      <c r="AP5" s="34"/>
      <c r="AQ5" s="34"/>
      <c r="AR5" s="34"/>
      <c r="AS5" s="34"/>
      <c r="AT5" s="34"/>
      <c r="AU5" s="34"/>
      <c r="AV5" s="34"/>
      <c r="AW5" s="34"/>
      <c r="AX5" s="34"/>
      <c r="AY5" s="34"/>
      <c r="AZ5" s="34"/>
    </row>
    <row r="6" spans="1:52" ht="19.5" customHeight="1">
      <c r="A6" s="68" t="s">
        <v>132</v>
      </c>
      <c r="B6" s="69" t="s">
        <v>133</v>
      </c>
      <c r="C6" s="34"/>
      <c r="D6" s="34"/>
      <c r="E6" s="34"/>
      <c r="F6" s="34"/>
      <c r="G6" s="34"/>
      <c r="H6" s="34"/>
      <c r="I6" s="34"/>
      <c r="J6" s="34"/>
      <c r="K6" s="34"/>
      <c r="L6" s="34"/>
      <c r="M6" s="34"/>
      <c r="N6" s="34"/>
      <c r="O6" s="34"/>
      <c r="P6" s="34"/>
      <c r="Q6" s="34"/>
      <c r="R6" s="34"/>
      <c r="S6" s="34"/>
      <c r="T6" s="34"/>
      <c r="U6" s="34"/>
      <c r="V6" s="34"/>
      <c r="W6" s="77"/>
      <c r="X6" s="40"/>
      <c r="Y6" s="40"/>
      <c r="Z6" s="40"/>
      <c r="AA6" s="40"/>
      <c r="AB6" s="40"/>
      <c r="AC6" s="40"/>
      <c r="AD6" s="40"/>
      <c r="AE6" s="40"/>
      <c r="AF6" s="40"/>
      <c r="AG6" s="40"/>
      <c r="AH6" s="40"/>
      <c r="AI6" s="40"/>
      <c r="AJ6" s="40"/>
      <c r="AK6" s="40"/>
      <c r="AL6" s="78"/>
      <c r="AM6" s="34" t="s">
        <v>140</v>
      </c>
      <c r="AN6" s="79">
        <f>((COS(ASIN(u/1500)))*(1500/2))/1000</f>
        <v>0.7475961476626268</v>
      </c>
      <c r="AO6" s="34" t="s">
        <v>2</v>
      </c>
      <c r="AP6" s="34">
        <f>((SIN(ATAN(1/20)))*1500)</f>
        <v>74.90642541583836</v>
      </c>
      <c r="AQ6" s="34"/>
      <c r="AR6" s="34"/>
      <c r="AS6" s="34"/>
      <c r="AT6" s="34"/>
      <c r="AU6" s="34"/>
      <c r="AV6" s="34"/>
      <c r="AW6" s="34"/>
      <c r="AX6" s="34"/>
      <c r="AY6" s="34"/>
      <c r="AZ6" s="34"/>
    </row>
    <row r="7" spans="1:52" ht="12.75">
      <c r="A7" s="34"/>
      <c r="B7" s="60" t="s">
        <v>134</v>
      </c>
      <c r="C7" s="34"/>
      <c r="D7" s="34"/>
      <c r="E7" s="34"/>
      <c r="F7" s="34"/>
      <c r="G7" s="34"/>
      <c r="H7" s="34"/>
      <c r="I7" s="34"/>
      <c r="J7" s="34"/>
      <c r="K7" s="34"/>
      <c r="L7" s="34"/>
      <c r="M7" s="34"/>
      <c r="N7" s="34"/>
      <c r="O7" s="34"/>
      <c r="P7" s="34"/>
      <c r="Q7" s="34"/>
      <c r="R7" s="34"/>
      <c r="S7" s="34"/>
      <c r="T7" s="34"/>
      <c r="U7" s="34"/>
      <c r="V7" s="34"/>
      <c r="W7" s="77"/>
      <c r="X7" s="40"/>
      <c r="Y7" s="40"/>
      <c r="Z7" s="40"/>
      <c r="AA7" s="40"/>
      <c r="AB7" s="40"/>
      <c r="AC7" s="40"/>
      <c r="AD7" s="40"/>
      <c r="AE7" s="40"/>
      <c r="AF7" s="40"/>
      <c r="AG7" s="40"/>
      <c r="AH7" s="40"/>
      <c r="AI7" s="40"/>
      <c r="AJ7" s="40"/>
      <c r="AK7" s="40"/>
      <c r="AL7" s="78"/>
      <c r="AM7" s="34"/>
      <c r="AN7" s="34"/>
      <c r="AO7" s="34"/>
      <c r="AP7" s="34"/>
      <c r="AQ7" s="34"/>
      <c r="AR7" s="34"/>
      <c r="AS7" s="34"/>
      <c r="AT7" s="34"/>
      <c r="AU7" s="34"/>
      <c r="AV7" s="34"/>
      <c r="AW7" s="34"/>
      <c r="AX7" s="34"/>
      <c r="AY7" s="34"/>
      <c r="AZ7" s="34"/>
    </row>
    <row r="8" spans="1:52" ht="12.75">
      <c r="A8" s="34"/>
      <c r="B8" s="34"/>
      <c r="C8" s="34"/>
      <c r="D8" s="34"/>
      <c r="E8" s="34"/>
      <c r="F8" s="34"/>
      <c r="G8" s="34"/>
      <c r="H8" s="34"/>
      <c r="I8" s="34"/>
      <c r="J8" s="34"/>
      <c r="K8" s="34"/>
      <c r="L8" s="34"/>
      <c r="M8" s="34"/>
      <c r="N8" s="34"/>
      <c r="O8" s="34"/>
      <c r="P8" s="34"/>
      <c r="Q8" s="34"/>
      <c r="R8" s="34"/>
      <c r="S8" s="34"/>
      <c r="T8" s="80"/>
      <c r="U8" s="34"/>
      <c r="V8" s="34"/>
      <c r="W8" s="77"/>
      <c r="X8" s="40"/>
      <c r="Y8" s="40"/>
      <c r="Z8" s="40"/>
      <c r="AA8" s="40"/>
      <c r="AB8" s="40"/>
      <c r="AC8" s="40"/>
      <c r="AD8" s="40"/>
      <c r="AE8" s="40"/>
      <c r="AF8" s="40"/>
      <c r="AG8" s="40"/>
      <c r="AH8" s="40"/>
      <c r="AI8" s="40"/>
      <c r="AJ8" s="40"/>
      <c r="AK8" s="40"/>
      <c r="AL8" s="78"/>
      <c r="AM8" s="34"/>
      <c r="AN8" s="34"/>
      <c r="AO8" s="34"/>
      <c r="AP8" s="34"/>
      <c r="AQ8" s="34"/>
      <c r="AR8" s="34"/>
      <c r="AS8" s="34"/>
      <c r="AT8" s="34"/>
      <c r="AU8" s="34"/>
      <c r="AV8" s="34"/>
      <c r="AW8" s="34"/>
      <c r="AX8" s="34"/>
      <c r="AY8" s="34"/>
      <c r="AZ8" s="34"/>
    </row>
    <row r="9" spans="1:52" ht="13.5" thickBot="1">
      <c r="A9" s="34" t="s">
        <v>0</v>
      </c>
      <c r="B9" s="34"/>
      <c r="C9" s="30">
        <v>120</v>
      </c>
      <c r="D9" s="34" t="s">
        <v>1</v>
      </c>
      <c r="E9" s="34" t="s">
        <v>16</v>
      </c>
      <c r="F9" s="34"/>
      <c r="G9" s="34"/>
      <c r="H9" s="34"/>
      <c r="I9" s="34" t="s">
        <v>13</v>
      </c>
      <c r="J9" s="34"/>
      <c r="K9" s="34"/>
      <c r="L9" s="34"/>
      <c r="M9" s="34"/>
      <c r="N9" s="60">
        <f>IF(C9&lt;=160,0.4,0.5)</f>
        <v>0.4</v>
      </c>
      <c r="O9" s="34" t="s">
        <v>2</v>
      </c>
      <c r="P9" s="34"/>
      <c r="Q9" s="34" t="s">
        <v>24</v>
      </c>
      <c r="R9" s="34"/>
      <c r="S9" s="34"/>
      <c r="T9" s="60">
        <f>VLOOKUP(C11,S10:T23,2,FALSE)</f>
        <v>0.214</v>
      </c>
      <c r="U9" s="34" t="s">
        <v>2</v>
      </c>
      <c r="V9" s="34"/>
      <c r="W9" s="81" t="s">
        <v>87</v>
      </c>
      <c r="X9" s="82"/>
      <c r="Y9" s="82"/>
      <c r="Z9" s="82"/>
      <c r="AA9" s="82"/>
      <c r="AB9" s="82"/>
      <c r="AC9" s="40"/>
      <c r="AD9" s="40"/>
      <c r="AE9" s="40"/>
      <c r="AF9" s="40"/>
      <c r="AG9" s="40"/>
      <c r="AH9" s="40"/>
      <c r="AI9" s="40"/>
      <c r="AJ9" s="40"/>
      <c r="AK9" s="40"/>
      <c r="AL9" s="78"/>
      <c r="AM9" s="81" t="s">
        <v>88</v>
      </c>
      <c r="AN9" s="60"/>
      <c r="AO9" s="60"/>
      <c r="AP9" s="60"/>
      <c r="AQ9" s="60"/>
      <c r="AR9" s="60"/>
      <c r="AS9" s="60"/>
      <c r="AT9" s="34"/>
      <c r="AU9" s="34"/>
      <c r="AV9" s="34"/>
      <c r="AW9" s="34"/>
      <c r="AX9" s="34"/>
      <c r="AY9" s="34"/>
      <c r="AZ9" s="34"/>
    </row>
    <row r="10" spans="1:54" ht="12.75">
      <c r="A10" s="34"/>
      <c r="B10" s="34"/>
      <c r="C10" s="34"/>
      <c r="D10" s="34"/>
      <c r="E10" s="34"/>
      <c r="F10" s="34"/>
      <c r="G10" s="34"/>
      <c r="H10" s="34"/>
      <c r="I10" s="34"/>
      <c r="J10" s="34"/>
      <c r="K10" s="34"/>
      <c r="L10" s="34"/>
      <c r="M10" s="34"/>
      <c r="N10" s="34"/>
      <c r="O10" s="34"/>
      <c r="P10" s="34"/>
      <c r="Q10" s="34"/>
      <c r="R10" s="34"/>
      <c r="S10" s="83" t="s">
        <v>93</v>
      </c>
      <c r="T10" s="84">
        <v>0.16</v>
      </c>
      <c r="U10" s="85" t="s">
        <v>2</v>
      </c>
      <c r="V10" s="34"/>
      <c r="W10" s="77"/>
      <c r="X10" s="40"/>
      <c r="Y10" s="40"/>
      <c r="Z10" s="40"/>
      <c r="AA10" s="40"/>
      <c r="AB10" s="40"/>
      <c r="AC10" s="40"/>
      <c r="AD10" s="40"/>
      <c r="AE10" s="40"/>
      <c r="AF10" s="40"/>
      <c r="AG10" s="40"/>
      <c r="AH10" s="40"/>
      <c r="AI10" s="40"/>
      <c r="AJ10" s="40"/>
      <c r="AK10" s="40"/>
      <c r="AL10" s="78"/>
      <c r="AM10" s="34"/>
      <c r="AN10" s="34"/>
      <c r="AO10" s="34"/>
      <c r="AP10" s="34"/>
      <c r="AQ10" s="34"/>
      <c r="AR10" s="34"/>
      <c r="AS10" s="34"/>
      <c r="AT10" s="34"/>
      <c r="AU10" s="79"/>
      <c r="AV10" s="79"/>
      <c r="AW10" s="79"/>
      <c r="AX10" s="79"/>
      <c r="AY10" s="79"/>
      <c r="AZ10" s="79"/>
      <c r="BA10" s="1"/>
      <c r="BB10" s="1"/>
    </row>
    <row r="11" spans="1:54" ht="12.75">
      <c r="A11" s="34" t="s">
        <v>8</v>
      </c>
      <c r="B11" s="34"/>
      <c r="C11" s="31" t="s">
        <v>91</v>
      </c>
      <c r="D11" s="34"/>
      <c r="E11" s="61"/>
      <c r="F11" s="34"/>
      <c r="G11" s="34"/>
      <c r="H11" s="34"/>
      <c r="I11" s="34" t="s">
        <v>14</v>
      </c>
      <c r="J11" s="34"/>
      <c r="K11" s="34"/>
      <c r="L11" s="62">
        <v>1</v>
      </c>
      <c r="M11" s="63" t="s">
        <v>15</v>
      </c>
      <c r="N11" s="32">
        <v>1.25</v>
      </c>
      <c r="O11" s="64"/>
      <c r="P11" s="64">
        <v>1.25</v>
      </c>
      <c r="Q11" s="34"/>
      <c r="R11" s="34"/>
      <c r="S11" s="86" t="s">
        <v>94</v>
      </c>
      <c r="T11" s="87">
        <v>0.15</v>
      </c>
      <c r="U11" s="78" t="s">
        <v>2</v>
      </c>
      <c r="V11" s="34"/>
      <c r="W11" s="77"/>
      <c r="X11" s="41"/>
      <c r="Y11" s="40"/>
      <c r="Z11" s="40"/>
      <c r="AA11" s="40"/>
      <c r="AB11" s="40"/>
      <c r="AC11" s="40"/>
      <c r="AD11" s="40"/>
      <c r="AE11" s="40"/>
      <c r="AF11" s="40"/>
      <c r="AG11" s="40"/>
      <c r="AH11" s="40"/>
      <c r="AI11" s="40"/>
      <c r="AJ11" s="40"/>
      <c r="AK11" s="40"/>
      <c r="AL11" s="78"/>
      <c r="AM11" s="34"/>
      <c r="AN11" s="34"/>
      <c r="AO11" s="34"/>
      <c r="AP11" s="34"/>
      <c r="AQ11" s="34"/>
      <c r="AR11" s="34"/>
      <c r="AS11" s="34"/>
      <c r="AT11" s="34"/>
      <c r="AU11" s="79"/>
      <c r="AV11" s="79"/>
      <c r="AW11" s="79"/>
      <c r="AX11" s="79"/>
      <c r="AY11" s="79"/>
      <c r="AZ11" s="79"/>
      <c r="BA11" s="1"/>
      <c r="BB11" s="1"/>
    </row>
    <row r="12" spans="1:52" ht="12.75">
      <c r="A12" s="34"/>
      <c r="B12" s="34"/>
      <c r="C12" s="34"/>
      <c r="D12" s="34"/>
      <c r="E12" s="61"/>
      <c r="F12" s="34"/>
      <c r="G12" s="34"/>
      <c r="H12" s="34"/>
      <c r="I12" s="34"/>
      <c r="J12" s="34"/>
      <c r="K12" s="34"/>
      <c r="L12" s="34"/>
      <c r="M12" s="34"/>
      <c r="N12" s="34"/>
      <c r="O12" s="64"/>
      <c r="P12" s="64">
        <v>1.5</v>
      </c>
      <c r="Q12" s="34"/>
      <c r="R12" s="34"/>
      <c r="S12" s="86" t="s">
        <v>95</v>
      </c>
      <c r="T12" s="87">
        <v>0.15</v>
      </c>
      <c r="U12" s="78" t="s">
        <v>2</v>
      </c>
      <c r="V12" s="34"/>
      <c r="W12" s="77"/>
      <c r="X12" s="40"/>
      <c r="Y12" s="40"/>
      <c r="Z12" s="40"/>
      <c r="AA12" s="40"/>
      <c r="AB12" s="40"/>
      <c r="AC12" s="40"/>
      <c r="AD12" s="40"/>
      <c r="AE12" s="40"/>
      <c r="AF12" s="40"/>
      <c r="AG12" s="40"/>
      <c r="AH12" s="40"/>
      <c r="AI12" s="40"/>
      <c r="AJ12" s="40"/>
      <c r="AK12" s="40"/>
      <c r="AL12" s="78"/>
      <c r="AM12" s="34"/>
      <c r="AN12" s="34"/>
      <c r="AO12" s="34"/>
      <c r="AP12" s="34"/>
      <c r="AQ12" s="34"/>
      <c r="AR12" s="34"/>
      <c r="AS12" s="34"/>
      <c r="AT12" s="34"/>
      <c r="AU12" s="34"/>
      <c r="AV12" s="34"/>
      <c r="AW12" s="34"/>
      <c r="AX12" s="34"/>
      <c r="AY12" s="34"/>
      <c r="AZ12" s="34"/>
    </row>
    <row r="13" spans="1:52" ht="12.75">
      <c r="A13" s="34"/>
      <c r="B13" s="34"/>
      <c r="C13" s="34"/>
      <c r="D13" s="34"/>
      <c r="E13" s="61"/>
      <c r="F13" s="34"/>
      <c r="G13" s="34"/>
      <c r="H13" s="34"/>
      <c r="I13" s="34"/>
      <c r="J13" s="34"/>
      <c r="K13" s="34"/>
      <c r="L13" s="34"/>
      <c r="M13" s="34"/>
      <c r="N13" s="34"/>
      <c r="O13" s="34"/>
      <c r="P13" s="34"/>
      <c r="Q13" s="34"/>
      <c r="R13" s="34"/>
      <c r="S13" s="86" t="s">
        <v>96</v>
      </c>
      <c r="T13" s="87">
        <v>0.14</v>
      </c>
      <c r="U13" s="78" t="s">
        <v>2</v>
      </c>
      <c r="V13" s="34"/>
      <c r="W13" s="77" t="s">
        <v>48</v>
      </c>
      <c r="X13" s="41">
        <f>1/N11</f>
        <v>0.8</v>
      </c>
      <c r="Y13" s="40"/>
      <c r="Z13" s="40"/>
      <c r="AA13" s="40"/>
      <c r="AB13" s="40"/>
      <c r="AC13" s="40"/>
      <c r="AD13" s="40"/>
      <c r="AE13" s="40"/>
      <c r="AF13" s="40"/>
      <c r="AG13" s="40"/>
      <c r="AH13" s="40"/>
      <c r="AI13" s="40"/>
      <c r="AJ13" s="40"/>
      <c r="AK13" s="40"/>
      <c r="AL13" s="78"/>
      <c r="AM13" s="34"/>
      <c r="AN13" s="34"/>
      <c r="AO13" s="34"/>
      <c r="AP13" s="34"/>
      <c r="AQ13" s="34"/>
      <c r="AR13" s="34"/>
      <c r="AS13" s="34"/>
      <c r="AT13" s="34"/>
      <c r="AU13" s="34"/>
      <c r="AV13" s="34"/>
      <c r="AW13" s="34"/>
      <c r="AX13" s="34"/>
      <c r="AY13" s="34"/>
      <c r="AZ13" s="34"/>
    </row>
    <row r="14" spans="1:52" ht="12.75">
      <c r="A14" s="34"/>
      <c r="B14" s="34"/>
      <c r="C14" s="34"/>
      <c r="D14" s="34"/>
      <c r="E14" s="34"/>
      <c r="F14" s="34"/>
      <c r="G14" s="34"/>
      <c r="H14" s="34"/>
      <c r="I14" s="34"/>
      <c r="J14" s="34"/>
      <c r="K14" s="34"/>
      <c r="L14" s="34"/>
      <c r="M14" s="34"/>
      <c r="N14" s="34"/>
      <c r="O14" s="34"/>
      <c r="P14" s="34"/>
      <c r="Q14" s="34"/>
      <c r="R14" s="34"/>
      <c r="S14" s="86" t="s">
        <v>120</v>
      </c>
      <c r="T14" s="87">
        <v>0.009</v>
      </c>
      <c r="U14" s="78" t="s">
        <v>2</v>
      </c>
      <c r="V14" s="34"/>
      <c r="W14" s="77"/>
      <c r="X14" s="40"/>
      <c r="Y14" s="40"/>
      <c r="Z14" s="40"/>
      <c r="AA14" s="40"/>
      <c r="AB14" s="40"/>
      <c r="AC14" s="40"/>
      <c r="AD14" s="40"/>
      <c r="AE14" s="40"/>
      <c r="AF14" s="40"/>
      <c r="AG14" s="40"/>
      <c r="AH14" s="40"/>
      <c r="AI14" s="40"/>
      <c r="AJ14" s="40"/>
      <c r="AK14" s="40"/>
      <c r="AL14" s="78"/>
      <c r="AM14" s="34"/>
      <c r="AN14" s="34"/>
      <c r="AO14" s="34"/>
      <c r="AP14" s="34"/>
      <c r="AQ14" s="34"/>
      <c r="AR14" s="34"/>
      <c r="AS14" s="34"/>
      <c r="AT14" s="34"/>
      <c r="AU14" s="34"/>
      <c r="AV14" s="34"/>
      <c r="AW14" s="34"/>
      <c r="AX14" s="34"/>
      <c r="AY14" s="34"/>
      <c r="AZ14" s="34"/>
    </row>
    <row r="15" spans="1:52" ht="12.75">
      <c r="A15" s="34" t="s">
        <v>9</v>
      </c>
      <c r="B15" s="34"/>
      <c r="C15" s="65">
        <f>VLOOKUP(C11,S27:T40,2,FALSE)</f>
        <v>2.6</v>
      </c>
      <c r="D15" s="34" t="s">
        <v>2</v>
      </c>
      <c r="E15" s="64"/>
      <c r="F15" s="34"/>
      <c r="G15" s="34"/>
      <c r="H15" s="34"/>
      <c r="I15" s="34" t="s">
        <v>17</v>
      </c>
      <c r="J15" s="34"/>
      <c r="K15" s="34"/>
      <c r="L15" s="34">
        <v>1</v>
      </c>
      <c r="M15" s="63" t="s">
        <v>15</v>
      </c>
      <c r="N15" s="60">
        <v>20</v>
      </c>
      <c r="O15" s="34"/>
      <c r="P15" s="34"/>
      <c r="Q15" s="34"/>
      <c r="R15" s="34"/>
      <c r="S15" s="86"/>
      <c r="T15" s="87"/>
      <c r="U15" s="78" t="s">
        <v>2</v>
      </c>
      <c r="V15" s="34"/>
      <c r="W15" s="77" t="s">
        <v>49</v>
      </c>
      <c r="X15" s="41">
        <f>1/N15</f>
        <v>0.05</v>
      </c>
      <c r="Y15" s="40"/>
      <c r="Z15" s="40"/>
      <c r="AA15" s="40"/>
      <c r="AB15" s="40"/>
      <c r="AC15" s="40"/>
      <c r="AD15" s="40"/>
      <c r="AE15" s="40"/>
      <c r="AF15" s="40"/>
      <c r="AG15" s="40"/>
      <c r="AH15" s="40"/>
      <c r="AI15" s="40"/>
      <c r="AJ15" s="40"/>
      <c r="AK15" s="40"/>
      <c r="AL15" s="78"/>
      <c r="AM15" s="34"/>
      <c r="AN15" s="34"/>
      <c r="AO15" s="34"/>
      <c r="AP15" s="34"/>
      <c r="AQ15" s="34"/>
      <c r="AR15" s="34"/>
      <c r="AS15" s="34"/>
      <c r="AT15" s="34"/>
      <c r="AU15" s="34"/>
      <c r="AV15" s="34"/>
      <c r="AW15" s="34"/>
      <c r="AX15" s="34"/>
      <c r="AY15" s="34"/>
      <c r="AZ15" s="34"/>
    </row>
    <row r="16" spans="1:52" ht="12.75">
      <c r="A16" s="66" t="s">
        <v>124</v>
      </c>
      <c r="B16" s="34"/>
      <c r="C16" s="64"/>
      <c r="D16" s="34"/>
      <c r="E16" s="64"/>
      <c r="F16" s="34"/>
      <c r="G16" s="34"/>
      <c r="H16" s="34"/>
      <c r="I16" s="34"/>
      <c r="J16" s="34"/>
      <c r="K16" s="34"/>
      <c r="L16" s="34"/>
      <c r="M16" s="34"/>
      <c r="N16" s="34"/>
      <c r="O16" s="34"/>
      <c r="P16" s="34"/>
      <c r="Q16" s="34"/>
      <c r="R16" s="34"/>
      <c r="S16" s="86" t="s">
        <v>29</v>
      </c>
      <c r="T16" s="87">
        <v>0.19</v>
      </c>
      <c r="U16" s="78" t="s">
        <v>2</v>
      </c>
      <c r="V16" s="34"/>
      <c r="W16" s="77"/>
      <c r="X16" s="40"/>
      <c r="Y16" s="40"/>
      <c r="Z16" s="40"/>
      <c r="AA16" s="40"/>
      <c r="AB16" s="88" t="s">
        <v>53</v>
      </c>
      <c r="AC16" s="40">
        <f>-X13*X27+Y27</f>
        <v>0.6813910996928348</v>
      </c>
      <c r="AD16" s="40"/>
      <c r="AE16" s="40"/>
      <c r="AF16" s="40"/>
      <c r="AG16" s="40"/>
      <c r="AH16" s="40"/>
      <c r="AI16" s="40"/>
      <c r="AJ16" s="40"/>
      <c r="AK16" s="40"/>
      <c r="AL16" s="78"/>
      <c r="AM16" s="34" t="s">
        <v>101</v>
      </c>
      <c r="AN16" s="79">
        <f>AN22*X13+AO22</f>
        <v>2.150110193011258</v>
      </c>
      <c r="AO16" s="34"/>
      <c r="AP16" s="34"/>
      <c r="AQ16" s="34"/>
      <c r="AR16" s="34"/>
      <c r="AS16" s="34"/>
      <c r="AT16" s="34"/>
      <c r="AU16" s="34"/>
      <c r="AV16" s="34"/>
      <c r="AW16" s="34"/>
      <c r="AX16" s="34"/>
      <c r="AY16" s="34"/>
      <c r="AZ16" s="34"/>
    </row>
    <row r="17" spans="1:52" ht="12.75">
      <c r="A17" s="34"/>
      <c r="B17" s="34"/>
      <c r="C17" s="64"/>
      <c r="D17" s="34"/>
      <c r="E17" s="64"/>
      <c r="F17" s="34"/>
      <c r="G17" s="34"/>
      <c r="H17" s="34"/>
      <c r="I17" s="34" t="s">
        <v>18</v>
      </c>
      <c r="J17" s="34"/>
      <c r="K17" s="34"/>
      <c r="L17" s="34"/>
      <c r="M17" s="34"/>
      <c r="N17" s="32">
        <v>1.45</v>
      </c>
      <c r="O17" s="34" t="s">
        <v>19</v>
      </c>
      <c r="P17" s="34"/>
      <c r="Q17" s="34"/>
      <c r="R17" s="34"/>
      <c r="S17" s="86" t="s">
        <v>92</v>
      </c>
      <c r="T17" s="87">
        <v>0.214</v>
      </c>
      <c r="U17" s="78" t="s">
        <v>2</v>
      </c>
      <c r="V17" s="34"/>
      <c r="W17" s="77" t="s">
        <v>50</v>
      </c>
      <c r="X17" s="41">
        <f>TAN(ASIN((u/1000)/1.5))</f>
        <v>0.0802572353905128</v>
      </c>
      <c r="Y17" s="40"/>
      <c r="Z17" s="40" t="s">
        <v>51</v>
      </c>
      <c r="AA17" s="40">
        <f>COS(ATAN(X17))</f>
        <v>0.996794863550169</v>
      </c>
      <c r="AB17" s="88" t="s">
        <v>66</v>
      </c>
      <c r="AC17" s="40">
        <f>-((T9/AA17)+d)</f>
        <v>-0.5146881046696217</v>
      </c>
      <c r="AD17" s="40"/>
      <c r="AE17" s="40" t="s">
        <v>67</v>
      </c>
      <c r="AF17" s="41">
        <f>AC17+(Y36-Y24)</f>
        <v>-0.5894477194358844</v>
      </c>
      <c r="AG17" s="40"/>
      <c r="AH17" s="40"/>
      <c r="AI17" s="40"/>
      <c r="AJ17" s="40"/>
      <c r="AK17" s="40"/>
      <c r="AL17" s="78"/>
      <c r="AM17" s="34"/>
      <c r="AN17" s="34"/>
      <c r="AO17" s="34"/>
      <c r="AP17" s="34"/>
      <c r="AQ17" s="34"/>
      <c r="AR17" s="34"/>
      <c r="AS17" s="34"/>
      <c r="AT17" s="34"/>
      <c r="AU17" s="34"/>
      <c r="AV17" s="34"/>
      <c r="AW17" s="34"/>
      <c r="AX17" s="34"/>
      <c r="AY17" s="34"/>
      <c r="AZ17" s="34"/>
    </row>
    <row r="18" spans="1:52" ht="12.75">
      <c r="A18" s="34"/>
      <c r="B18" s="34"/>
      <c r="C18" s="64"/>
      <c r="D18" s="34"/>
      <c r="E18" s="34"/>
      <c r="F18" s="34"/>
      <c r="G18" s="34"/>
      <c r="H18" s="34"/>
      <c r="I18" s="34"/>
      <c r="J18" s="34"/>
      <c r="K18" s="34"/>
      <c r="L18" s="34"/>
      <c r="M18" s="34"/>
      <c r="N18" s="34"/>
      <c r="O18" s="34"/>
      <c r="P18" s="34"/>
      <c r="Q18" s="34"/>
      <c r="R18" s="34"/>
      <c r="S18" s="86" t="s">
        <v>91</v>
      </c>
      <c r="T18" s="87">
        <v>0.214</v>
      </c>
      <c r="U18" s="78" t="s">
        <v>2</v>
      </c>
      <c r="V18" s="34"/>
      <c r="W18" s="77"/>
      <c r="X18" s="41"/>
      <c r="Y18" s="40"/>
      <c r="Z18" s="40" t="s">
        <v>52</v>
      </c>
      <c r="AA18" s="40">
        <f>SIN(ATAN(X17))</f>
        <v>0.08</v>
      </c>
      <c r="AB18" s="40"/>
      <c r="AC18" s="40"/>
      <c r="AD18" s="40"/>
      <c r="AE18" s="40"/>
      <c r="AF18" s="40"/>
      <c r="AG18" s="40"/>
      <c r="AH18" s="40"/>
      <c r="AI18" s="40"/>
      <c r="AJ18" s="40"/>
      <c r="AK18" s="40"/>
      <c r="AL18" s="78"/>
      <c r="AM18" s="34"/>
      <c r="AN18" s="34"/>
      <c r="AO18" s="34"/>
      <c r="AP18" s="34"/>
      <c r="AQ18" s="34"/>
      <c r="AR18" s="34"/>
      <c r="AS18" s="34"/>
      <c r="AT18" s="34"/>
      <c r="AU18" s="34"/>
      <c r="AV18" s="34"/>
      <c r="AW18" s="34"/>
      <c r="AX18" s="34"/>
      <c r="AY18" s="34"/>
      <c r="AZ18" s="34"/>
    </row>
    <row r="19" spans="1:52" ht="12.75">
      <c r="A19" s="34" t="s">
        <v>12</v>
      </c>
      <c r="B19" s="34"/>
      <c r="C19" s="32">
        <v>0.6</v>
      </c>
      <c r="D19" s="34" t="s">
        <v>2</v>
      </c>
      <c r="E19" s="64"/>
      <c r="F19" s="34"/>
      <c r="G19" s="34"/>
      <c r="H19" s="34"/>
      <c r="I19" s="34" t="s">
        <v>118</v>
      </c>
      <c r="J19" s="34"/>
      <c r="K19" s="34"/>
      <c r="L19" s="34"/>
      <c r="M19" s="34"/>
      <c r="N19" s="30">
        <v>1</v>
      </c>
      <c r="O19" s="34"/>
      <c r="P19" s="34"/>
      <c r="Q19" s="34"/>
      <c r="R19" s="34"/>
      <c r="S19" s="86" t="s">
        <v>11</v>
      </c>
      <c r="T19" s="87">
        <v>0.234</v>
      </c>
      <c r="U19" s="78" t="s">
        <v>2</v>
      </c>
      <c r="V19" s="34"/>
      <c r="W19" s="77" t="s">
        <v>65</v>
      </c>
      <c r="X19" s="40"/>
      <c r="Y19" s="40"/>
      <c r="Z19" s="40"/>
      <c r="AA19" s="40"/>
      <c r="AB19" s="40"/>
      <c r="AC19" s="40"/>
      <c r="AD19" s="40"/>
      <c r="AE19" s="40" t="s">
        <v>68</v>
      </c>
      <c r="AF19" s="40"/>
      <c r="AG19" s="40"/>
      <c r="AH19" s="40" t="s">
        <v>69</v>
      </c>
      <c r="AI19" s="40"/>
      <c r="AJ19" s="40"/>
      <c r="AK19" s="40"/>
      <c r="AL19" s="78"/>
      <c r="AM19" s="34" t="s">
        <v>111</v>
      </c>
      <c r="AN19" s="34"/>
      <c r="AO19" s="34"/>
      <c r="AP19" s="34"/>
      <c r="AQ19" s="34"/>
      <c r="AR19" s="34"/>
      <c r="AS19" s="34"/>
      <c r="AT19" s="34"/>
      <c r="AU19" s="34"/>
      <c r="AV19" s="34"/>
      <c r="AW19" s="34"/>
      <c r="AX19" s="34"/>
      <c r="AY19" s="34"/>
      <c r="AZ19" s="34"/>
    </row>
    <row r="20" spans="1:52" ht="12.75">
      <c r="A20" s="66" t="s">
        <v>125</v>
      </c>
      <c r="B20" s="34"/>
      <c r="C20" s="64"/>
      <c r="D20" s="34"/>
      <c r="E20" s="64"/>
      <c r="F20" s="34"/>
      <c r="G20" s="34"/>
      <c r="H20" s="34"/>
      <c r="I20" s="34"/>
      <c r="J20" s="34"/>
      <c r="K20" s="34"/>
      <c r="L20" s="34"/>
      <c r="M20" s="34"/>
      <c r="N20" s="34"/>
      <c r="O20" s="34"/>
      <c r="P20" s="34"/>
      <c r="Q20" s="34"/>
      <c r="R20" s="34"/>
      <c r="S20" s="86" t="s">
        <v>10</v>
      </c>
      <c r="T20" s="87">
        <v>0.214</v>
      </c>
      <c r="U20" s="78" t="s">
        <v>2</v>
      </c>
      <c r="V20" s="34"/>
      <c r="W20" s="89" t="s">
        <v>30</v>
      </c>
      <c r="X20" s="90" t="s">
        <v>44</v>
      </c>
      <c r="Y20" s="90" t="s">
        <v>45</v>
      </c>
      <c r="Z20" s="40"/>
      <c r="AA20" s="40"/>
      <c r="AB20" s="40"/>
      <c r="AC20" s="40"/>
      <c r="AD20" s="40"/>
      <c r="AE20" s="90" t="s">
        <v>30</v>
      </c>
      <c r="AF20" s="90" t="s">
        <v>44</v>
      </c>
      <c r="AG20" s="90" t="s">
        <v>45</v>
      </c>
      <c r="AH20" s="90" t="s">
        <v>46</v>
      </c>
      <c r="AI20" s="90" t="s">
        <v>47</v>
      </c>
      <c r="AJ20" s="40"/>
      <c r="AK20" s="40"/>
      <c r="AL20" s="78"/>
      <c r="AM20" s="91" t="str">
        <f aca="true" t="shared" si="0" ref="AM20:AO22">W20</f>
        <v>Punkte</v>
      </c>
      <c r="AN20" s="91" t="str">
        <f t="shared" si="0"/>
        <v>xi</v>
      </c>
      <c r="AO20" s="91" t="str">
        <f t="shared" si="0"/>
        <v>yi</v>
      </c>
      <c r="AP20" s="91" t="s">
        <v>103</v>
      </c>
      <c r="AQ20" s="91" t="s">
        <v>104</v>
      </c>
      <c r="AR20" s="60"/>
      <c r="AS20" s="60"/>
      <c r="AT20" s="34"/>
      <c r="AU20" s="34"/>
      <c r="AV20" s="34"/>
      <c r="AW20" s="34"/>
      <c r="AX20" s="34"/>
      <c r="AY20" s="34"/>
      <c r="AZ20" s="34"/>
    </row>
    <row r="21" spans="1:52" ht="12.75">
      <c r="A21" s="34"/>
      <c r="B21" s="34"/>
      <c r="C21" s="64"/>
      <c r="D21" s="34"/>
      <c r="E21" s="64"/>
      <c r="F21" s="34"/>
      <c r="G21" s="34"/>
      <c r="H21" s="34"/>
      <c r="I21" s="34"/>
      <c r="J21" s="34"/>
      <c r="K21" s="34"/>
      <c r="L21" s="34"/>
      <c r="M21" s="34"/>
      <c r="N21" s="34"/>
      <c r="O21" s="34"/>
      <c r="P21" s="34"/>
      <c r="Q21" s="34"/>
      <c r="R21" s="34"/>
      <c r="S21" s="86" t="s">
        <v>89</v>
      </c>
      <c r="T21" s="87">
        <v>0.193</v>
      </c>
      <c r="U21" s="78" t="s">
        <v>2</v>
      </c>
      <c r="V21" s="34"/>
      <c r="W21" s="89" t="s">
        <v>32</v>
      </c>
      <c r="X21" s="92">
        <v>0</v>
      </c>
      <c r="Y21" s="92">
        <v>0</v>
      </c>
      <c r="Z21" s="40"/>
      <c r="AA21" s="40" t="s">
        <v>39</v>
      </c>
      <c r="AB21" s="40" t="s">
        <v>54</v>
      </c>
      <c r="AC21" s="40"/>
      <c r="AD21" s="40"/>
      <c r="AE21" s="90" t="s">
        <v>32</v>
      </c>
      <c r="AF21" s="92">
        <f>X21</f>
        <v>0</v>
      </c>
      <c r="AG21" s="92">
        <f>Y21</f>
        <v>0</v>
      </c>
      <c r="AH21" s="41">
        <f>AF21-$X$29</f>
        <v>-4.5</v>
      </c>
      <c r="AI21" s="41">
        <f>AG21</f>
        <v>0</v>
      </c>
      <c r="AJ21" s="40"/>
      <c r="AK21" s="40"/>
      <c r="AL21" s="78"/>
      <c r="AM21" s="91" t="str">
        <f t="shared" si="0"/>
        <v>Ai</v>
      </c>
      <c r="AN21" s="79">
        <f t="shared" si="0"/>
        <v>0</v>
      </c>
      <c r="AO21" s="79">
        <f t="shared" si="0"/>
        <v>0</v>
      </c>
      <c r="AP21" s="79">
        <f>AN21*AO22</f>
        <v>0</v>
      </c>
      <c r="AQ21" s="79">
        <f>AN22*AO21</f>
        <v>0</v>
      </c>
      <c r="AR21" s="79">
        <f>AP21-AQ21</f>
        <v>0</v>
      </c>
      <c r="AS21" s="34"/>
      <c r="AT21" s="34"/>
      <c r="AU21" s="34"/>
      <c r="AV21" s="34"/>
      <c r="AW21" s="34"/>
      <c r="AX21" s="34"/>
      <c r="AY21" s="34"/>
      <c r="AZ21" s="34"/>
    </row>
    <row r="22" spans="1:52" ht="13.5" thickBot="1">
      <c r="A22" s="34"/>
      <c r="B22" s="34"/>
      <c r="C22" s="64"/>
      <c r="D22" s="34"/>
      <c r="E22" s="34"/>
      <c r="F22" s="34"/>
      <c r="G22" s="34"/>
      <c r="H22" s="34"/>
      <c r="I22" s="34"/>
      <c r="J22" s="34"/>
      <c r="K22" s="34"/>
      <c r="L22" s="34"/>
      <c r="M22" s="34"/>
      <c r="N22" s="34"/>
      <c r="O22" s="34"/>
      <c r="P22" s="34"/>
      <c r="Q22" s="34"/>
      <c r="R22" s="34"/>
      <c r="S22" s="86" t="s">
        <v>123</v>
      </c>
      <c r="T22" s="87">
        <v>0.095</v>
      </c>
      <c r="U22" s="78" t="s">
        <v>2</v>
      </c>
      <c r="V22" s="34"/>
      <c r="W22" s="89" t="s">
        <v>33</v>
      </c>
      <c r="X22" s="92">
        <f>(1.5+((l-1.5)/2)+N9)*COS(X17)</f>
        <v>2.442113735268513</v>
      </c>
      <c r="Y22" s="92">
        <f>(1.5+((l-1.5)/2)+N9)*SIN(X17)</f>
        <v>0.19641920479644745</v>
      </c>
      <c r="Z22" s="40"/>
      <c r="AA22" s="40" t="s">
        <v>40</v>
      </c>
      <c r="AB22" s="40" t="s">
        <v>55</v>
      </c>
      <c r="AC22" s="40"/>
      <c r="AD22" s="40"/>
      <c r="AE22" s="90" t="s">
        <v>33</v>
      </c>
      <c r="AF22" s="92">
        <f aca="true" t="shared" si="1" ref="AF22:AF27">X22</f>
        <v>2.442113735268513</v>
      </c>
      <c r="AG22" s="92">
        <f>Y22</f>
        <v>0.19641920479644745</v>
      </c>
      <c r="AH22" s="41">
        <f aca="true" t="shared" si="2" ref="AH22:AH27">AF22-$X$29</f>
        <v>-2.057886264731487</v>
      </c>
      <c r="AI22" s="41">
        <f aca="true" t="shared" si="3" ref="AI22:AI27">AG22</f>
        <v>0.19641920479644745</v>
      </c>
      <c r="AJ22" s="40"/>
      <c r="AK22" s="40"/>
      <c r="AL22" s="78"/>
      <c r="AM22" s="91" t="str">
        <f t="shared" si="0"/>
        <v>Bi</v>
      </c>
      <c r="AN22" s="79">
        <f t="shared" si="0"/>
        <v>2.442113735268513</v>
      </c>
      <c r="AO22" s="79">
        <f t="shared" si="0"/>
        <v>0.19641920479644745</v>
      </c>
      <c r="AP22" s="79">
        <f aca="true" t="shared" si="4" ref="AP22:AP27">AN22*AO23</f>
        <v>-0.8741186236467291</v>
      </c>
      <c r="AQ22" s="79">
        <f aca="true" t="shared" si="5" ref="AQ22:AQ27">AN23*AO22</f>
        <v>0.6157853677334179</v>
      </c>
      <c r="AR22" s="79">
        <f aca="true" t="shared" si="6" ref="AR22:AR27">AP22-AQ22</f>
        <v>-1.4899039913801468</v>
      </c>
      <c r="AS22" s="34"/>
      <c r="AT22" s="34"/>
      <c r="AU22" s="34"/>
      <c r="AV22" s="34"/>
      <c r="AW22" s="34"/>
      <c r="AX22" s="34"/>
      <c r="AY22" s="34"/>
      <c r="AZ22" s="34"/>
    </row>
    <row r="23" spans="1:52" ht="15.75" thickBot="1">
      <c r="A23" s="34" t="s">
        <v>146</v>
      </c>
      <c r="B23" s="34"/>
      <c r="C23" s="32">
        <v>0.3</v>
      </c>
      <c r="D23" s="34" t="s">
        <v>2</v>
      </c>
      <c r="E23" s="64"/>
      <c r="F23" s="34"/>
      <c r="G23" s="34"/>
      <c r="H23" s="34"/>
      <c r="I23" s="49" t="s">
        <v>20</v>
      </c>
      <c r="J23" s="50"/>
      <c r="K23" s="50"/>
      <c r="L23" s="50"/>
      <c r="M23" s="50"/>
      <c r="N23" s="50"/>
      <c r="O23" s="51"/>
      <c r="P23" s="34"/>
      <c r="Q23" s="34"/>
      <c r="R23" s="34"/>
      <c r="S23" s="93" t="s">
        <v>122</v>
      </c>
      <c r="T23" s="94">
        <v>0.095</v>
      </c>
      <c r="U23" s="95" t="s">
        <v>2</v>
      </c>
      <c r="V23" s="34"/>
      <c r="W23" s="89" t="s">
        <v>34</v>
      </c>
      <c r="X23" s="92">
        <f>X24</f>
        <v>2.9975961476626267</v>
      </c>
      <c r="Y23" s="92"/>
      <c r="Z23" s="40"/>
      <c r="AA23" s="40" t="s">
        <v>41</v>
      </c>
      <c r="AB23" s="40" t="s">
        <v>56</v>
      </c>
      <c r="AC23" s="40"/>
      <c r="AD23" s="40"/>
      <c r="AE23" s="90" t="s">
        <v>34</v>
      </c>
      <c r="AF23" s="92">
        <f t="shared" si="1"/>
        <v>2.9975961476626267</v>
      </c>
      <c r="AG23" s="92"/>
      <c r="AH23" s="41">
        <f t="shared" si="2"/>
        <v>-1.5024038523373733</v>
      </c>
      <c r="AI23" s="41"/>
      <c r="AJ23" s="40"/>
      <c r="AK23" s="40"/>
      <c r="AL23" s="78"/>
      <c r="AM23" s="91" t="s">
        <v>100</v>
      </c>
      <c r="AN23" s="79">
        <f>(AC17-AN16)/(-X13-X15)</f>
        <v>3.1350568208010343</v>
      </c>
      <c r="AO23" s="79">
        <f>AN23*X15+AC17</f>
        <v>-0.35793526362956996</v>
      </c>
      <c r="AP23" s="79">
        <f t="shared" si="4"/>
        <v>-1.6135857356333758</v>
      </c>
      <c r="AQ23" s="79">
        <f t="shared" si="5"/>
        <v>0</v>
      </c>
      <c r="AR23" s="79">
        <f t="shared" si="6"/>
        <v>-1.6135857356333758</v>
      </c>
      <c r="AS23" s="34"/>
      <c r="AT23" s="34"/>
      <c r="AU23" s="34"/>
      <c r="AV23" s="34"/>
      <c r="AW23" s="34"/>
      <c r="AX23" s="34"/>
      <c r="AY23" s="34"/>
      <c r="AZ23" s="34"/>
    </row>
    <row r="24" spans="1:52" ht="12.75">
      <c r="A24" s="34" t="s">
        <v>3</v>
      </c>
      <c r="B24" s="34"/>
      <c r="C24" s="67"/>
      <c r="D24" s="34"/>
      <c r="E24" s="64"/>
      <c r="F24" s="34"/>
      <c r="G24" s="34"/>
      <c r="H24" s="34"/>
      <c r="I24" s="52"/>
      <c r="J24" s="53"/>
      <c r="K24" s="53"/>
      <c r="L24" s="53"/>
      <c r="M24" s="53"/>
      <c r="N24" s="53"/>
      <c r="O24" s="54"/>
      <c r="P24" s="34"/>
      <c r="Q24" s="34"/>
      <c r="R24" s="34"/>
      <c r="S24" s="88"/>
      <c r="T24" s="40"/>
      <c r="U24" s="40"/>
      <c r="V24" s="34"/>
      <c r="W24" s="89" t="s">
        <v>35</v>
      </c>
      <c r="X24" s="92">
        <f>(((1.5/2)*AA17)+(aGleis/2))</f>
        <v>2.9975961476626267</v>
      </c>
      <c r="Y24" s="92">
        <f>X24*X15+AC17</f>
        <v>-0.36480829728649034</v>
      </c>
      <c r="Z24" s="40"/>
      <c r="AA24" s="40"/>
      <c r="AB24" s="40"/>
      <c r="AC24" s="40"/>
      <c r="AD24" s="40"/>
      <c r="AE24" s="90" t="s">
        <v>35</v>
      </c>
      <c r="AF24" s="92">
        <f t="shared" si="1"/>
        <v>2.9975961476626267</v>
      </c>
      <c r="AG24" s="92">
        <f>Y36</f>
        <v>-0.43956791205275303</v>
      </c>
      <c r="AH24" s="41">
        <f t="shared" si="2"/>
        <v>-1.5024038523373733</v>
      </c>
      <c r="AI24" s="41">
        <f t="shared" si="3"/>
        <v>-0.43956791205275303</v>
      </c>
      <c r="AJ24" s="40"/>
      <c r="AK24" s="40"/>
      <c r="AL24" s="78"/>
      <c r="AM24" s="91" t="str">
        <f aca="true" t="shared" si="7" ref="AM24:AO26">W25</f>
        <v>Ei</v>
      </c>
      <c r="AN24" s="79">
        <f t="shared" si="7"/>
        <v>0</v>
      </c>
      <c r="AO24" s="79">
        <f t="shared" si="7"/>
        <v>-0.5146910655421839</v>
      </c>
      <c r="AP24" s="79">
        <f t="shared" si="4"/>
        <v>0</v>
      </c>
      <c r="AQ24" s="79">
        <f t="shared" si="5"/>
        <v>0.8208150402215469</v>
      </c>
      <c r="AR24" s="79">
        <f t="shared" si="6"/>
        <v>-0.8208150402215469</v>
      </c>
      <c r="AS24" s="34"/>
      <c r="AT24" s="34"/>
      <c r="AU24" s="34"/>
      <c r="AV24" s="34"/>
      <c r="AW24" s="34"/>
      <c r="AX24" s="34"/>
      <c r="AY24" s="34"/>
      <c r="AZ24" s="34"/>
    </row>
    <row r="25" spans="1:52" ht="12.75">
      <c r="A25" s="34"/>
      <c r="B25" s="34"/>
      <c r="C25" s="67"/>
      <c r="D25" s="34"/>
      <c r="E25" s="34"/>
      <c r="F25" s="34"/>
      <c r="G25" s="34"/>
      <c r="H25" s="34"/>
      <c r="I25" s="52" t="s">
        <v>112</v>
      </c>
      <c r="J25" s="53"/>
      <c r="K25" s="53"/>
      <c r="L25" s="53"/>
      <c r="M25" s="53"/>
      <c r="N25" s="53"/>
      <c r="O25" s="70">
        <f>IF(gleisig=2,-AF40,IF(AS34&gt;=AS33,-AR28,-AR43))</f>
        <v>5.392464831223579</v>
      </c>
      <c r="P25" s="34"/>
      <c r="Q25" s="34"/>
      <c r="R25" s="34"/>
      <c r="S25" s="88"/>
      <c r="T25" s="40"/>
      <c r="U25" s="40"/>
      <c r="V25" s="34"/>
      <c r="W25" s="89" t="s">
        <v>36</v>
      </c>
      <c r="X25" s="92">
        <v>0</v>
      </c>
      <c r="Y25" s="92">
        <f>-(T9/(COS(X17))+d)</f>
        <v>-0.5146910655421839</v>
      </c>
      <c r="Z25" s="40"/>
      <c r="AA25" s="40"/>
      <c r="AB25" s="40"/>
      <c r="AC25" s="40"/>
      <c r="AD25" s="40"/>
      <c r="AE25" s="90" t="s">
        <v>36</v>
      </c>
      <c r="AF25" s="92">
        <f t="shared" si="1"/>
        <v>0</v>
      </c>
      <c r="AG25" s="92">
        <f>AF25*X15+AF17</f>
        <v>-0.5894477194358844</v>
      </c>
      <c r="AH25" s="41">
        <f t="shared" si="2"/>
        <v>-4.5</v>
      </c>
      <c r="AI25" s="41">
        <f t="shared" si="3"/>
        <v>-0.5894477194358844</v>
      </c>
      <c r="AJ25" s="40"/>
      <c r="AK25" s="40"/>
      <c r="AL25" s="78"/>
      <c r="AM25" s="91" t="str">
        <f t="shared" si="7"/>
        <v>Fi</v>
      </c>
      <c r="AN25" s="79">
        <f t="shared" si="7"/>
        <v>-1.5947722724832751</v>
      </c>
      <c r="AO25" s="79">
        <f t="shared" si="7"/>
        <v>-0.5944267182937853</v>
      </c>
      <c r="AP25" s="79">
        <f t="shared" si="4"/>
        <v>0.12146192102569754</v>
      </c>
      <c r="AQ25" s="79">
        <f t="shared" si="5"/>
        <v>0.562887661505326</v>
      </c>
      <c r="AR25" s="79">
        <f t="shared" si="6"/>
        <v>-0.44142574047962846</v>
      </c>
      <c r="AS25" s="34"/>
      <c r="AT25" s="34"/>
      <c r="AU25" s="34"/>
      <c r="AV25" s="34"/>
      <c r="AW25" s="34"/>
      <c r="AX25" s="34"/>
      <c r="AY25" s="34"/>
      <c r="AZ25" s="34"/>
    </row>
    <row r="26" spans="1:52" ht="13.5" thickBot="1">
      <c r="A26" s="34"/>
      <c r="B26" s="34"/>
      <c r="C26" s="34"/>
      <c r="D26" s="34"/>
      <c r="E26" s="34"/>
      <c r="F26" s="34"/>
      <c r="G26" s="34"/>
      <c r="H26" s="34"/>
      <c r="I26" s="52" t="s">
        <v>113</v>
      </c>
      <c r="J26" s="53"/>
      <c r="K26" s="53"/>
      <c r="L26" s="53"/>
      <c r="M26" s="53"/>
      <c r="N26" s="53"/>
      <c r="O26" s="70">
        <f>IF(gleisig=2,-AF50,"eingleisig")</f>
        <v>2.6074447980772444</v>
      </c>
      <c r="P26" s="34"/>
      <c r="Q26" s="34" t="s">
        <v>28</v>
      </c>
      <c r="R26" s="34"/>
      <c r="S26" s="88"/>
      <c r="T26" s="40"/>
      <c r="U26" s="40"/>
      <c r="V26" s="34"/>
      <c r="W26" s="89" t="s">
        <v>37</v>
      </c>
      <c r="X26" s="92">
        <f>(AC17-AC16)/(X13-X15)</f>
        <v>-1.5947722724832751</v>
      </c>
      <c r="Y26" s="92">
        <f>X13*X26+AC16</f>
        <v>-0.5944267182937853</v>
      </c>
      <c r="Z26" s="40"/>
      <c r="AA26" s="40"/>
      <c r="AB26" s="88" t="s">
        <v>62</v>
      </c>
      <c r="AC26" s="40">
        <f>X13*X33+Y33</f>
        <v>2.150110193011258</v>
      </c>
      <c r="AD26" s="40"/>
      <c r="AE26" s="90" t="s">
        <v>37</v>
      </c>
      <c r="AF26" s="92">
        <f>(AF17-AC16)/(X13-X15)</f>
        <v>-1.6944517588382924</v>
      </c>
      <c r="AG26" s="92">
        <f>AF26*X15+AF17</f>
        <v>-0.6741703073777989</v>
      </c>
      <c r="AH26" s="41">
        <f t="shared" si="2"/>
        <v>-6.194451758838293</v>
      </c>
      <c r="AI26" s="41">
        <f t="shared" si="3"/>
        <v>-0.6741703073777989</v>
      </c>
      <c r="AJ26" s="40"/>
      <c r="AK26" s="40"/>
      <c r="AL26" s="78"/>
      <c r="AM26" s="91" t="str">
        <f t="shared" si="7"/>
        <v>Gi</v>
      </c>
      <c r="AN26" s="79">
        <f t="shared" si="7"/>
        <v>-0.9469420606143216</v>
      </c>
      <c r="AO26" s="79">
        <f t="shared" si="7"/>
        <v>-0.0761625487986225</v>
      </c>
      <c r="AP26" s="79">
        <f t="shared" si="4"/>
        <v>0</v>
      </c>
      <c r="AQ26" s="79">
        <f t="shared" si="5"/>
        <v>0</v>
      </c>
      <c r="AR26" s="79">
        <f t="shared" si="6"/>
        <v>0</v>
      </c>
      <c r="AS26" s="34"/>
      <c r="AT26" s="34"/>
      <c r="AU26" s="34"/>
      <c r="AV26" s="34"/>
      <c r="AW26" s="34"/>
      <c r="AX26" s="34"/>
      <c r="AY26" s="34"/>
      <c r="AZ26" s="34"/>
    </row>
    <row r="27" spans="1:52" ht="12.75">
      <c r="A27" s="34" t="s">
        <v>4</v>
      </c>
      <c r="B27" s="34"/>
      <c r="C27" s="30">
        <v>2</v>
      </c>
      <c r="D27" s="34" t="str">
        <f>"-gleisig"</f>
        <v>-gleisig</v>
      </c>
      <c r="E27" s="34">
        <v>1</v>
      </c>
      <c r="F27" s="34" t="str">
        <f>"-gleisig"</f>
        <v>-gleisig</v>
      </c>
      <c r="G27" s="34"/>
      <c r="H27" s="34"/>
      <c r="I27" s="52" t="s">
        <v>114</v>
      </c>
      <c r="J27" s="53"/>
      <c r="K27" s="53"/>
      <c r="L27" s="53"/>
      <c r="M27" s="53"/>
      <c r="N27" s="53"/>
      <c r="O27" s="70">
        <f>IF(gleisig=2,-AF60,"eingleisig")</f>
        <v>2.7850200331463344</v>
      </c>
      <c r="P27" s="34"/>
      <c r="Q27" s="34"/>
      <c r="R27" s="34"/>
      <c r="S27" s="83" t="s">
        <v>93</v>
      </c>
      <c r="T27" s="84">
        <v>2.6</v>
      </c>
      <c r="U27" s="85" t="s">
        <v>2</v>
      </c>
      <c r="V27" s="34"/>
      <c r="W27" s="89" t="s">
        <v>38</v>
      </c>
      <c r="X27" s="92">
        <f>-(((l-1.5)/2)+N9)*COS(X17)</f>
        <v>-0.9469420606143216</v>
      </c>
      <c r="Y27" s="92">
        <f>-(((l-1.5)/2)+N9)*SIN(X17)</f>
        <v>-0.0761625487986225</v>
      </c>
      <c r="Z27" s="40"/>
      <c r="AA27" s="40"/>
      <c r="AB27" s="88" t="s">
        <v>63</v>
      </c>
      <c r="AC27" s="40">
        <f>AC17</f>
        <v>-0.5146881046696217</v>
      </c>
      <c r="AD27" s="40"/>
      <c r="AE27" s="90" t="s">
        <v>38</v>
      </c>
      <c r="AF27" s="92">
        <f t="shared" si="1"/>
        <v>-0.9469420606143216</v>
      </c>
      <c r="AG27" s="92">
        <f>Y27</f>
        <v>-0.0761625487986225</v>
      </c>
      <c r="AH27" s="41">
        <f t="shared" si="2"/>
        <v>-5.4469420606143215</v>
      </c>
      <c r="AI27" s="41">
        <f t="shared" si="3"/>
        <v>-0.0761625487986225</v>
      </c>
      <c r="AJ27" s="40"/>
      <c r="AK27" s="40"/>
      <c r="AL27" s="78"/>
      <c r="AM27" s="91" t="s">
        <v>32</v>
      </c>
      <c r="AN27" s="79">
        <f>AN21</f>
        <v>0</v>
      </c>
      <c r="AO27" s="79">
        <f>AO21</f>
        <v>0</v>
      </c>
      <c r="AP27" s="79">
        <f t="shared" si="4"/>
        <v>0</v>
      </c>
      <c r="AQ27" s="79">
        <f t="shared" si="5"/>
        <v>0</v>
      </c>
      <c r="AR27" s="79">
        <f t="shared" si="6"/>
        <v>0</v>
      </c>
      <c r="AS27" s="34"/>
      <c r="AT27" s="34"/>
      <c r="AU27" s="34"/>
      <c r="AV27" s="34"/>
      <c r="AW27" s="34"/>
      <c r="AX27" s="34"/>
      <c r="AY27" s="34"/>
      <c r="AZ27" s="34"/>
    </row>
    <row r="28" spans="1:52" ht="12.75">
      <c r="A28" s="34"/>
      <c r="B28" s="34"/>
      <c r="C28" s="34"/>
      <c r="D28" s="34"/>
      <c r="E28" s="34">
        <v>2</v>
      </c>
      <c r="F28" s="34" t="str">
        <f>"-gleisig"</f>
        <v>-gleisig</v>
      </c>
      <c r="G28" s="34"/>
      <c r="H28" s="34"/>
      <c r="I28" s="52"/>
      <c r="J28" s="53"/>
      <c r="K28" s="53"/>
      <c r="L28" s="53"/>
      <c r="M28" s="53"/>
      <c r="N28" s="53"/>
      <c r="O28" s="54"/>
      <c r="P28" s="34"/>
      <c r="Q28" s="34"/>
      <c r="R28" s="34"/>
      <c r="S28" s="86" t="s">
        <v>94</v>
      </c>
      <c r="T28" s="87">
        <v>2.6</v>
      </c>
      <c r="U28" s="78" t="s">
        <v>2</v>
      </c>
      <c r="V28" s="34"/>
      <c r="W28" s="77"/>
      <c r="X28" s="40"/>
      <c r="Y28" s="40"/>
      <c r="Z28" s="40"/>
      <c r="AA28" s="40"/>
      <c r="AB28" s="40"/>
      <c r="AC28" s="40"/>
      <c r="AD28" s="40"/>
      <c r="AE28" s="40"/>
      <c r="AF28" s="40"/>
      <c r="AG28" s="40"/>
      <c r="AH28" s="40"/>
      <c r="AI28" s="40"/>
      <c r="AJ28" s="40"/>
      <c r="AK28" s="40"/>
      <c r="AL28" s="78"/>
      <c r="AM28" s="60" t="s">
        <v>105</v>
      </c>
      <c r="AN28" s="60"/>
      <c r="AO28" s="60"/>
      <c r="AP28" s="60"/>
      <c r="AQ28" s="60"/>
      <c r="AR28" s="96">
        <f>SUM(AR21:AR27)/2</f>
        <v>-2.182865253857349</v>
      </c>
      <c r="AS28" s="60" t="s">
        <v>21</v>
      </c>
      <c r="AT28" s="34"/>
      <c r="AU28" s="34"/>
      <c r="AV28" s="34"/>
      <c r="AW28" s="34"/>
      <c r="AX28" s="34"/>
      <c r="AY28" s="34"/>
      <c r="AZ28" s="34"/>
    </row>
    <row r="29" spans="1:52" ht="12.75">
      <c r="A29" s="34"/>
      <c r="B29" s="34"/>
      <c r="C29" s="34"/>
      <c r="D29" s="34"/>
      <c r="E29" s="34"/>
      <c r="F29" s="34"/>
      <c r="G29" s="34"/>
      <c r="H29" s="34"/>
      <c r="I29" s="52" t="s">
        <v>97</v>
      </c>
      <c r="J29" s="53"/>
      <c r="K29" s="53"/>
      <c r="L29" s="53"/>
      <c r="M29" s="53"/>
      <c r="N29" s="55">
        <f>IF(gleisig=2,(-AF40-(2*S70))*N19,IF(AS34&gt;=AS33,(-AR28-S70)*N19,(-AR43-S70)*N19))</f>
        <v>5.012464831223579</v>
      </c>
      <c r="O29" s="54" t="s">
        <v>22</v>
      </c>
      <c r="P29" s="34"/>
      <c r="Q29" s="34"/>
      <c r="R29" s="34"/>
      <c r="S29" s="86" t="s">
        <v>95</v>
      </c>
      <c r="T29" s="87">
        <v>2.5</v>
      </c>
      <c r="U29" s="78" t="s">
        <v>2</v>
      </c>
      <c r="V29" s="34"/>
      <c r="W29" s="77" t="s">
        <v>64</v>
      </c>
      <c r="X29" s="41">
        <f>X24-X36</f>
        <v>4.5</v>
      </c>
      <c r="Y29" s="40"/>
      <c r="Z29" s="40"/>
      <c r="AA29" s="40"/>
      <c r="AB29" s="40"/>
      <c r="AC29" s="40"/>
      <c r="AD29" s="40"/>
      <c r="AE29" s="40"/>
      <c r="AF29" s="40"/>
      <c r="AG29" s="40"/>
      <c r="AH29" s="40"/>
      <c r="AI29" s="40"/>
      <c r="AJ29" s="40"/>
      <c r="AK29" s="40"/>
      <c r="AL29" s="78"/>
      <c r="AM29" s="34" t="s">
        <v>102</v>
      </c>
      <c r="AN29" s="34"/>
      <c r="AO29" s="34">
        <f>-X13*AN23+AN16</f>
        <v>-0.3579352636295696</v>
      </c>
      <c r="AP29" s="34"/>
      <c r="AQ29" s="34"/>
      <c r="AR29" s="34" t="s">
        <v>106</v>
      </c>
      <c r="AS29" s="34"/>
      <c r="AT29" s="34"/>
      <c r="AU29" s="34"/>
      <c r="AV29" s="34"/>
      <c r="AW29" s="34"/>
      <c r="AX29" s="34"/>
      <c r="AY29" s="34"/>
      <c r="AZ29" s="34"/>
    </row>
    <row r="30" spans="1:52" ht="12.75">
      <c r="A30" s="34"/>
      <c r="B30" s="34"/>
      <c r="C30" s="34"/>
      <c r="D30" s="34"/>
      <c r="E30" s="34"/>
      <c r="F30" s="34"/>
      <c r="G30" s="34"/>
      <c r="H30" s="34"/>
      <c r="I30" s="52" t="s">
        <v>98</v>
      </c>
      <c r="J30" s="53"/>
      <c r="K30" s="53"/>
      <c r="L30" s="53"/>
      <c r="M30" s="53"/>
      <c r="N30" s="55">
        <f>IF(gleisig=2,(-AF50-S70)*N19,"eingleisig")</f>
        <v>2.4174447980772444</v>
      </c>
      <c r="O30" s="54" t="s">
        <v>22</v>
      </c>
      <c r="P30" s="34"/>
      <c r="Q30" s="34"/>
      <c r="R30" s="34"/>
      <c r="S30" s="86" t="s">
        <v>96</v>
      </c>
      <c r="T30" s="87">
        <v>2.5</v>
      </c>
      <c r="U30" s="78" t="s">
        <v>2</v>
      </c>
      <c r="V30" s="34"/>
      <c r="W30" s="77" t="s">
        <v>31</v>
      </c>
      <c r="X30" s="40"/>
      <c r="Y30" s="40"/>
      <c r="Z30" s="40"/>
      <c r="AA30" s="40" t="s">
        <v>73</v>
      </c>
      <c r="AB30" s="40"/>
      <c r="AC30" s="40"/>
      <c r="AD30" s="40"/>
      <c r="AE30" s="40"/>
      <c r="AF30" s="40"/>
      <c r="AG30" s="40"/>
      <c r="AH30" s="40"/>
      <c r="AI30" s="40"/>
      <c r="AJ30" s="40"/>
      <c r="AK30" s="40"/>
      <c r="AL30" s="78"/>
      <c r="AM30" s="34"/>
      <c r="AN30" s="34"/>
      <c r="AO30" s="34"/>
      <c r="AP30" s="34"/>
      <c r="AQ30" s="34"/>
      <c r="AR30" s="34" t="s">
        <v>110</v>
      </c>
      <c r="AS30" s="34"/>
      <c r="AT30" s="34"/>
      <c r="AU30" s="34"/>
      <c r="AV30" s="34"/>
      <c r="AW30" s="34"/>
      <c r="AX30" s="34"/>
      <c r="AY30" s="34"/>
      <c r="AZ30" s="34"/>
    </row>
    <row r="31" spans="1:52" ht="12.75">
      <c r="A31" s="34" t="s">
        <v>5</v>
      </c>
      <c r="B31" s="34"/>
      <c r="C31" s="32">
        <v>4.5</v>
      </c>
      <c r="D31" s="34" t="s">
        <v>2</v>
      </c>
      <c r="E31" s="64"/>
      <c r="F31" s="34"/>
      <c r="G31" s="34"/>
      <c r="H31" s="34"/>
      <c r="I31" s="52" t="s">
        <v>99</v>
      </c>
      <c r="J31" s="53"/>
      <c r="K31" s="53"/>
      <c r="L31" s="53"/>
      <c r="M31" s="53"/>
      <c r="N31" s="55">
        <f>IF(gleisig=2,(-AF60-S70)*N19,"eingleisig")</f>
        <v>2.5950200331463344</v>
      </c>
      <c r="O31" s="54" t="s">
        <v>22</v>
      </c>
      <c r="P31" s="34"/>
      <c r="Q31" s="34"/>
      <c r="R31" s="34"/>
      <c r="S31" s="86" t="s">
        <v>120</v>
      </c>
      <c r="T31" s="87">
        <v>2.5</v>
      </c>
      <c r="U31" s="78" t="s">
        <v>2</v>
      </c>
      <c r="V31" s="34"/>
      <c r="W31" s="89" t="s">
        <v>30</v>
      </c>
      <c r="X31" s="90" t="s">
        <v>46</v>
      </c>
      <c r="Y31" s="90" t="s">
        <v>47</v>
      </c>
      <c r="Z31" s="40"/>
      <c r="AA31" s="90" t="s">
        <v>30</v>
      </c>
      <c r="AB31" s="90" t="s">
        <v>46</v>
      </c>
      <c r="AC31" s="90" t="s">
        <v>47</v>
      </c>
      <c r="AD31" s="90" t="s">
        <v>78</v>
      </c>
      <c r="AE31" s="90" t="s">
        <v>77</v>
      </c>
      <c r="AF31" s="40"/>
      <c r="AG31" s="40"/>
      <c r="AH31" s="40"/>
      <c r="AI31" s="40"/>
      <c r="AJ31" s="40"/>
      <c r="AK31" s="40"/>
      <c r="AL31" s="78"/>
      <c r="AM31" s="34"/>
      <c r="AN31" s="34"/>
      <c r="AO31" s="34"/>
      <c r="AP31" s="34"/>
      <c r="AQ31" s="34"/>
      <c r="AR31" s="34"/>
      <c r="AS31" s="34"/>
      <c r="AT31" s="34"/>
      <c r="AU31" s="34"/>
      <c r="AV31" s="34"/>
      <c r="AW31" s="34"/>
      <c r="AX31" s="34"/>
      <c r="AY31" s="34"/>
      <c r="AZ31" s="34"/>
    </row>
    <row r="32" spans="1:52" ht="12.75">
      <c r="A32" s="34"/>
      <c r="B32" s="34"/>
      <c r="C32" s="34"/>
      <c r="D32" s="34"/>
      <c r="E32" s="64"/>
      <c r="F32" s="34"/>
      <c r="G32" s="34"/>
      <c r="H32" s="34"/>
      <c r="I32" s="52"/>
      <c r="J32" s="53"/>
      <c r="K32" s="53"/>
      <c r="L32" s="53"/>
      <c r="M32" s="53"/>
      <c r="N32" s="53"/>
      <c r="O32" s="54"/>
      <c r="P32" s="34"/>
      <c r="Q32" s="34"/>
      <c r="R32" s="34"/>
      <c r="S32" s="86"/>
      <c r="T32" s="87"/>
      <c r="U32" s="78" t="s">
        <v>2</v>
      </c>
      <c r="V32" s="34"/>
      <c r="W32" s="89" t="s">
        <v>42</v>
      </c>
      <c r="X32" s="92">
        <v>0</v>
      </c>
      <c r="Y32" s="92">
        <v>0</v>
      </c>
      <c r="Z32" s="40"/>
      <c r="AA32" s="90" t="s">
        <v>72</v>
      </c>
      <c r="AB32" s="41">
        <f>X38</f>
        <v>-0.9469420606143216</v>
      </c>
      <c r="AC32" s="41">
        <f>Y38</f>
        <v>-0.0761625487986225</v>
      </c>
      <c r="AD32" s="40">
        <f>AB32*AC33</f>
        <v>-0.18599760653417438</v>
      </c>
      <c r="AE32" s="40">
        <f>AB33*AC32</f>
        <v>-0.1859976065341744</v>
      </c>
      <c r="AF32" s="40">
        <f>AD32-AE32</f>
        <v>0</v>
      </c>
      <c r="AG32" s="40"/>
      <c r="AH32" s="40"/>
      <c r="AI32" s="40"/>
      <c r="AJ32" s="40"/>
      <c r="AK32" s="40"/>
      <c r="AL32" s="78"/>
      <c r="AM32" s="34"/>
      <c r="AN32" s="34"/>
      <c r="AO32" s="34"/>
      <c r="AP32" s="34"/>
      <c r="AQ32" s="34"/>
      <c r="AR32" s="97" t="s">
        <v>107</v>
      </c>
      <c r="AS32" s="60"/>
      <c r="AT32" s="34"/>
      <c r="AU32" s="34"/>
      <c r="AV32" s="34"/>
      <c r="AW32" s="34"/>
      <c r="AX32" s="34"/>
      <c r="AY32" s="34"/>
      <c r="AZ32" s="34"/>
    </row>
    <row r="33" spans="1:52" ht="12.75">
      <c r="A33" s="34"/>
      <c r="B33" s="34"/>
      <c r="C33" s="34"/>
      <c r="D33" s="34"/>
      <c r="E33" s="64"/>
      <c r="F33" s="34"/>
      <c r="G33" s="34"/>
      <c r="H33" s="34"/>
      <c r="I33" s="52" t="s">
        <v>81</v>
      </c>
      <c r="J33" s="53"/>
      <c r="K33" s="53"/>
      <c r="L33" s="53"/>
      <c r="M33" s="53"/>
      <c r="N33" s="55">
        <f>N29*$N$17</f>
        <v>7.2680740052741895</v>
      </c>
      <c r="O33" s="54" t="s">
        <v>23</v>
      </c>
      <c r="P33" s="34"/>
      <c r="Q33" s="34"/>
      <c r="R33" s="34"/>
      <c r="S33" s="86" t="s">
        <v>29</v>
      </c>
      <c r="T33" s="87">
        <v>2.4</v>
      </c>
      <c r="U33" s="78" t="s">
        <v>2</v>
      </c>
      <c r="V33" s="34"/>
      <c r="W33" s="89" t="s">
        <v>57</v>
      </c>
      <c r="X33" s="92">
        <f>X22</f>
        <v>2.442113735268513</v>
      </c>
      <c r="Y33" s="92">
        <f>Y22</f>
        <v>0.19641920479644745</v>
      </c>
      <c r="Z33" s="40"/>
      <c r="AA33" s="90" t="s">
        <v>70</v>
      </c>
      <c r="AB33" s="41">
        <f>X33</f>
        <v>2.442113735268513</v>
      </c>
      <c r="AC33" s="41">
        <f>Y33</f>
        <v>0.19641920479644745</v>
      </c>
      <c r="AD33" s="40">
        <f aca="true" t="shared" si="8" ref="AD33:AD39">AB33*AC34</f>
        <v>-1.6907762580921093</v>
      </c>
      <c r="AE33" s="40">
        <f aca="true" t="shared" si="9" ref="AE33:AE39">AB34*AC33</f>
        <v>0.6978900834312068</v>
      </c>
      <c r="AF33" s="40">
        <f aca="true" t="shared" si="10" ref="AF33:AF39">AD33-AE33</f>
        <v>-2.388666341523316</v>
      </c>
      <c r="AG33" s="40"/>
      <c r="AH33" s="40"/>
      <c r="AI33" s="40"/>
      <c r="AJ33" s="40"/>
      <c r="AK33" s="40"/>
      <c r="AL33" s="78"/>
      <c r="AM33" s="34"/>
      <c r="AN33" s="34"/>
      <c r="AO33" s="34"/>
      <c r="AP33" s="34"/>
      <c r="AQ33" s="34"/>
      <c r="AR33" s="60" t="s">
        <v>108</v>
      </c>
      <c r="AS33" s="96">
        <f>1/N15</f>
        <v>0.05</v>
      </c>
      <c r="AT33" s="34"/>
      <c r="AU33" s="34"/>
      <c r="AV33" s="34"/>
      <c r="AW33" s="34"/>
      <c r="AX33" s="34"/>
      <c r="AY33" s="34"/>
      <c r="AZ33" s="34"/>
    </row>
    <row r="34" spans="1:52" ht="12.75">
      <c r="A34" s="34"/>
      <c r="B34" s="34"/>
      <c r="C34" s="34"/>
      <c r="D34" s="34"/>
      <c r="E34" s="64"/>
      <c r="F34" s="34"/>
      <c r="G34" s="34"/>
      <c r="H34" s="34"/>
      <c r="I34" s="52" t="s">
        <v>82</v>
      </c>
      <c r="J34" s="53"/>
      <c r="K34" s="53"/>
      <c r="L34" s="53"/>
      <c r="M34" s="53"/>
      <c r="N34" s="55">
        <f>IF(gleisig=2,N30*$N$17,"eingleisig")</f>
        <v>3.5052949572120045</v>
      </c>
      <c r="O34" s="54" t="s">
        <v>23</v>
      </c>
      <c r="P34" s="34"/>
      <c r="Q34" s="34"/>
      <c r="R34" s="34"/>
      <c r="S34" s="86" t="s">
        <v>92</v>
      </c>
      <c r="T34" s="87">
        <v>2.4</v>
      </c>
      <c r="U34" s="78" t="s">
        <v>2</v>
      </c>
      <c r="V34" s="34"/>
      <c r="W34" s="89" t="s">
        <v>43</v>
      </c>
      <c r="X34" s="92">
        <f>(AC27-AC26)/(-X13+X15)</f>
        <v>3.553064396907839</v>
      </c>
      <c r="Y34" s="41">
        <f>-(X13*X34)+AC26</f>
        <v>-0.6923413245150134</v>
      </c>
      <c r="Z34" s="40"/>
      <c r="AA34" s="90" t="s">
        <v>43</v>
      </c>
      <c r="AB34" s="41">
        <f>X34</f>
        <v>3.553064396907839</v>
      </c>
      <c r="AC34" s="41">
        <f>Y34</f>
        <v>-0.6923413245150134</v>
      </c>
      <c r="AD34" s="40">
        <f t="shared" si="8"/>
        <v>-1.561813098337753</v>
      </c>
      <c r="AE34" s="40">
        <f t="shared" si="9"/>
        <v>1.0401762730837156</v>
      </c>
      <c r="AF34" s="40">
        <f t="shared" si="10"/>
        <v>-2.6019893714214684</v>
      </c>
      <c r="AG34" s="40"/>
      <c r="AH34" s="40"/>
      <c r="AI34" s="40"/>
      <c r="AJ34" s="40"/>
      <c r="AK34" s="40"/>
      <c r="AL34" s="78"/>
      <c r="AM34" s="34"/>
      <c r="AN34" s="34"/>
      <c r="AO34" s="34"/>
      <c r="AP34" s="34"/>
      <c r="AQ34" s="34"/>
      <c r="AR34" s="60" t="s">
        <v>109</v>
      </c>
      <c r="AS34" s="96">
        <f>X17</f>
        <v>0.0802572353905128</v>
      </c>
      <c r="AT34" s="34"/>
      <c r="AU34" s="34"/>
      <c r="AV34" s="34"/>
      <c r="AW34" s="34"/>
      <c r="AX34" s="34"/>
      <c r="AY34" s="34"/>
      <c r="AZ34" s="34"/>
    </row>
    <row r="35" spans="1:52" ht="12.75">
      <c r="A35" s="34" t="s">
        <v>6</v>
      </c>
      <c r="B35" s="34"/>
      <c r="C35" s="30">
        <v>120</v>
      </c>
      <c r="D35" s="34" t="s">
        <v>7</v>
      </c>
      <c r="E35" s="34"/>
      <c r="F35" s="34"/>
      <c r="G35" s="34"/>
      <c r="H35" s="34"/>
      <c r="I35" s="52" t="s">
        <v>83</v>
      </c>
      <c r="J35" s="53"/>
      <c r="K35" s="53"/>
      <c r="L35" s="53"/>
      <c r="M35" s="53"/>
      <c r="N35" s="55">
        <f>IF(gleisig=2,N31*$N$17,"eingleisig")</f>
        <v>3.762779048062185</v>
      </c>
      <c r="O35" s="54" t="s">
        <v>23</v>
      </c>
      <c r="P35" s="34"/>
      <c r="Q35" s="34"/>
      <c r="R35" s="34"/>
      <c r="S35" s="86" t="s">
        <v>91</v>
      </c>
      <c r="T35" s="87">
        <v>2.6</v>
      </c>
      <c r="U35" s="78" t="s">
        <v>2</v>
      </c>
      <c r="V35" s="34"/>
      <c r="W35" s="89" t="s">
        <v>60</v>
      </c>
      <c r="X35" s="92">
        <f>X25</f>
        <v>0</v>
      </c>
      <c r="Y35" s="92">
        <f>Y25</f>
        <v>-0.5146910655421839</v>
      </c>
      <c r="Z35" s="40"/>
      <c r="AA35" s="90" t="s">
        <v>59</v>
      </c>
      <c r="AB35" s="41">
        <f>X36</f>
        <v>-1.5024038523373733</v>
      </c>
      <c r="AC35" s="41">
        <f>Y36</f>
        <v>-0.43956791205275303</v>
      </c>
      <c r="AD35" s="40">
        <f t="shared" si="8"/>
        <v>1.0128760669358763</v>
      </c>
      <c r="AE35" s="40">
        <f t="shared" si="9"/>
        <v>2.7228822259440517</v>
      </c>
      <c r="AF35" s="40">
        <f t="shared" si="10"/>
        <v>-1.7100061590081754</v>
      </c>
      <c r="AG35" s="40"/>
      <c r="AH35" s="40"/>
      <c r="AI35" s="40"/>
      <c r="AJ35" s="40"/>
      <c r="AK35" s="40"/>
      <c r="AL35" s="78"/>
      <c r="AM35" s="34"/>
      <c r="AN35" s="34"/>
      <c r="AO35" s="34"/>
      <c r="AP35" s="34"/>
      <c r="AQ35" s="34"/>
      <c r="AR35" s="34"/>
      <c r="AS35" s="34"/>
      <c r="AT35" s="34"/>
      <c r="AU35" s="34"/>
      <c r="AV35" s="34"/>
      <c r="AW35" s="34"/>
      <c r="AX35" s="34"/>
      <c r="AY35" s="34"/>
      <c r="AZ35" s="34"/>
    </row>
    <row r="36" spans="1:52" ht="13.5" thickBot="1">
      <c r="A36" s="34"/>
      <c r="B36" s="34"/>
      <c r="C36" s="34"/>
      <c r="D36" s="34"/>
      <c r="E36" s="34"/>
      <c r="F36" s="34"/>
      <c r="G36" s="34"/>
      <c r="H36" s="34"/>
      <c r="I36" s="56"/>
      <c r="J36" s="57"/>
      <c r="K36" s="57"/>
      <c r="L36" s="57"/>
      <c r="M36" s="57"/>
      <c r="N36" s="57"/>
      <c r="O36" s="58"/>
      <c r="P36" s="34"/>
      <c r="Q36" s="34"/>
      <c r="R36" s="34"/>
      <c r="S36" s="86" t="s">
        <v>11</v>
      </c>
      <c r="T36" s="87">
        <v>2.8</v>
      </c>
      <c r="U36" s="78" t="s">
        <v>2</v>
      </c>
      <c r="V36" s="34"/>
      <c r="W36" s="89" t="s">
        <v>59</v>
      </c>
      <c r="X36" s="92">
        <f>-((aGleis/2)-((1.5/2)*AA17))</f>
        <v>-1.5024038523373733</v>
      </c>
      <c r="Y36" s="92">
        <f>(-(X36*X15)+AC27)</f>
        <v>-0.43956791205275303</v>
      </c>
      <c r="Z36" s="40"/>
      <c r="AA36" s="90" t="s">
        <v>37</v>
      </c>
      <c r="AB36" s="41">
        <f>AH26</f>
        <v>-6.194451758838293</v>
      </c>
      <c r="AC36" s="41">
        <f>AI26</f>
        <v>-0.6741703073777989</v>
      </c>
      <c r="AD36" s="40">
        <f t="shared" si="8"/>
        <v>0.47178523436323444</v>
      </c>
      <c r="AE36" s="40">
        <f t="shared" si="9"/>
        <v>3.6721666032734186</v>
      </c>
      <c r="AF36" s="40">
        <f t="shared" si="10"/>
        <v>-3.2003813689101843</v>
      </c>
      <c r="AG36" s="40"/>
      <c r="AH36" s="40"/>
      <c r="AI36" s="40"/>
      <c r="AJ36" s="40"/>
      <c r="AK36" s="40"/>
      <c r="AL36" s="78"/>
      <c r="AM36" s="34"/>
      <c r="AN36" s="34"/>
      <c r="AO36" s="34"/>
      <c r="AP36" s="34"/>
      <c r="AQ36" s="34"/>
      <c r="AR36" s="34"/>
      <c r="AS36" s="34"/>
      <c r="AT36" s="34"/>
      <c r="AU36" s="34"/>
      <c r="AV36" s="34"/>
      <c r="AW36" s="34"/>
      <c r="AX36" s="34"/>
      <c r="AY36" s="34"/>
      <c r="AZ36" s="34"/>
    </row>
    <row r="37" spans="1:52" ht="12.75">
      <c r="A37" s="34"/>
      <c r="B37" s="34"/>
      <c r="C37" s="34"/>
      <c r="D37" s="34"/>
      <c r="E37" s="34"/>
      <c r="F37" s="34"/>
      <c r="G37" s="34"/>
      <c r="H37" s="34"/>
      <c r="I37" s="34"/>
      <c r="J37" s="34"/>
      <c r="K37" s="34"/>
      <c r="L37" s="34"/>
      <c r="M37" s="34"/>
      <c r="N37" s="34"/>
      <c r="O37" s="61"/>
      <c r="P37" s="34"/>
      <c r="Q37" s="34"/>
      <c r="R37" s="34"/>
      <c r="S37" s="86" t="s">
        <v>10</v>
      </c>
      <c r="T37" s="87">
        <v>2.6</v>
      </c>
      <c r="U37" s="78" t="s">
        <v>2</v>
      </c>
      <c r="V37" s="34"/>
      <c r="W37" s="89" t="s">
        <v>58</v>
      </c>
      <c r="X37" s="92"/>
      <c r="Y37" s="92"/>
      <c r="Z37" s="40"/>
      <c r="AA37" s="90" t="s">
        <v>38</v>
      </c>
      <c r="AB37" s="41">
        <f>AH27</f>
        <v>-5.4469420606143215</v>
      </c>
      <c r="AC37" s="41">
        <f>AI27</f>
        <v>-0.0761625487986225</v>
      </c>
      <c r="AD37" s="40">
        <f t="shared" si="8"/>
        <v>-1.0698840281181878</v>
      </c>
      <c r="AE37" s="40">
        <f t="shared" si="9"/>
        <v>0.15673386305962683</v>
      </c>
      <c r="AF37" s="40">
        <f t="shared" si="10"/>
        <v>-1.2266178911778147</v>
      </c>
      <c r="AG37" s="40"/>
      <c r="AH37" s="40"/>
      <c r="AI37" s="40"/>
      <c r="AJ37" s="40"/>
      <c r="AK37" s="40"/>
      <c r="AL37" s="78"/>
      <c r="AM37" s="91" t="s">
        <v>30</v>
      </c>
      <c r="AN37" s="91" t="s">
        <v>44</v>
      </c>
      <c r="AO37" s="91" t="s">
        <v>45</v>
      </c>
      <c r="AP37" s="91" t="s">
        <v>103</v>
      </c>
      <c r="AQ37" s="91" t="s">
        <v>104</v>
      </c>
      <c r="AR37" s="98"/>
      <c r="AS37" s="98"/>
      <c r="AT37" s="34"/>
      <c r="AU37" s="34"/>
      <c r="AV37" s="34"/>
      <c r="AW37" s="34"/>
      <c r="AX37" s="34"/>
      <c r="AY37" s="34"/>
      <c r="AZ37" s="34"/>
    </row>
    <row r="38" spans="1:52" ht="13.5" customHeight="1">
      <c r="A38" s="34"/>
      <c r="B38" s="34"/>
      <c r="C38" s="34"/>
      <c r="D38" s="34"/>
      <c r="E38" s="34"/>
      <c r="F38" s="34"/>
      <c r="G38" s="34"/>
      <c r="H38" s="34"/>
      <c r="I38" s="34"/>
      <c r="J38" s="34"/>
      <c r="K38" s="34"/>
      <c r="L38" s="34"/>
      <c r="M38" s="34"/>
      <c r="N38" s="34"/>
      <c r="O38" s="61" t="s">
        <v>141</v>
      </c>
      <c r="P38" s="34"/>
      <c r="Q38" s="34"/>
      <c r="R38" s="34"/>
      <c r="S38" s="86" t="s">
        <v>89</v>
      </c>
      <c r="T38" s="87">
        <v>2.6</v>
      </c>
      <c r="U38" s="78" t="s">
        <v>2</v>
      </c>
      <c r="V38" s="34"/>
      <c r="W38" s="89" t="s">
        <v>61</v>
      </c>
      <c r="X38" s="92">
        <f>X27</f>
        <v>-0.9469420606143216</v>
      </c>
      <c r="Y38" s="92">
        <f>Y27</f>
        <v>-0.0761625487986225</v>
      </c>
      <c r="Z38" s="40"/>
      <c r="AA38" s="90" t="s">
        <v>33</v>
      </c>
      <c r="AB38" s="41">
        <f>AH22</f>
        <v>-2.057886264731487</v>
      </c>
      <c r="AC38" s="41">
        <f>AI22</f>
        <v>0.19641920479644745</v>
      </c>
      <c r="AD38" s="40">
        <f t="shared" si="8"/>
        <v>0.15673386305962683</v>
      </c>
      <c r="AE38" s="40">
        <f t="shared" si="9"/>
        <v>-0.18599760653417438</v>
      </c>
      <c r="AF38" s="40">
        <f t="shared" si="10"/>
        <v>0.3427314695938012</v>
      </c>
      <c r="AG38" s="40"/>
      <c r="AH38" s="40"/>
      <c r="AI38" s="40"/>
      <c r="AJ38" s="40"/>
      <c r="AK38" s="40"/>
      <c r="AL38" s="78"/>
      <c r="AM38" s="91" t="s">
        <v>72</v>
      </c>
      <c r="AN38" s="79">
        <f aca="true" t="shared" si="11" ref="AN38:AO40">AB32</f>
        <v>-0.9469420606143216</v>
      </c>
      <c r="AO38" s="79">
        <f t="shared" si="11"/>
        <v>-0.0761625487986225</v>
      </c>
      <c r="AP38" s="79">
        <f>AN38*AO39</f>
        <v>-0.18599760653417438</v>
      </c>
      <c r="AQ38" s="79">
        <f>AN39*AO38</f>
        <v>-0.1859976065341744</v>
      </c>
      <c r="AR38" s="79">
        <f>AP38-AQ38</f>
        <v>0</v>
      </c>
      <c r="AS38" s="34"/>
      <c r="AT38" s="34"/>
      <c r="AU38" s="34"/>
      <c r="AV38" s="34"/>
      <c r="AW38" s="34"/>
      <c r="AX38" s="34"/>
      <c r="AY38" s="34"/>
      <c r="AZ38" s="34"/>
    </row>
    <row r="39" spans="1:52" ht="12.75">
      <c r="A39" s="34" t="s">
        <v>130</v>
      </c>
      <c r="B39" s="34"/>
      <c r="C39" s="34"/>
      <c r="D39" s="35" t="s">
        <v>30</v>
      </c>
      <c r="E39" s="36"/>
      <c r="F39" s="36"/>
      <c r="G39" s="36"/>
      <c r="H39" s="36"/>
      <c r="I39" s="37" t="s">
        <v>126</v>
      </c>
      <c r="J39" s="38" t="s">
        <v>127</v>
      </c>
      <c r="K39" s="35"/>
      <c r="L39" s="36"/>
      <c r="M39" s="36"/>
      <c r="N39" s="71" t="s">
        <v>135</v>
      </c>
      <c r="O39" s="74" t="s">
        <v>136</v>
      </c>
      <c r="P39" s="99"/>
      <c r="Q39" s="34"/>
      <c r="R39" s="34"/>
      <c r="S39" s="86" t="s">
        <v>123</v>
      </c>
      <c r="T39" s="87">
        <f>2.3-0.33</f>
        <v>1.9699999999999998</v>
      </c>
      <c r="U39" s="78" t="s">
        <v>2</v>
      </c>
      <c r="V39" s="34"/>
      <c r="W39" s="77"/>
      <c r="X39" s="40"/>
      <c r="Y39" s="40"/>
      <c r="Z39" s="40"/>
      <c r="AA39" s="90" t="s">
        <v>72</v>
      </c>
      <c r="AB39" s="41">
        <f>X38</f>
        <v>-0.9469420606143216</v>
      </c>
      <c r="AC39" s="41">
        <f>Y38</f>
        <v>-0.0761625487986225</v>
      </c>
      <c r="AD39" s="40">
        <f t="shared" si="8"/>
        <v>0</v>
      </c>
      <c r="AE39" s="40">
        <f t="shared" si="9"/>
        <v>0</v>
      </c>
      <c r="AF39" s="40">
        <f t="shared" si="10"/>
        <v>0</v>
      </c>
      <c r="AG39" s="40"/>
      <c r="AH39" s="40"/>
      <c r="AI39" s="40"/>
      <c r="AJ39" s="40"/>
      <c r="AK39" s="40"/>
      <c r="AL39" s="78"/>
      <c r="AM39" s="91" t="s">
        <v>70</v>
      </c>
      <c r="AN39" s="79">
        <f t="shared" si="11"/>
        <v>2.442113735268513</v>
      </c>
      <c r="AO39" s="79">
        <f t="shared" si="11"/>
        <v>0.19641920479644745</v>
      </c>
      <c r="AP39" s="79">
        <f>AN39*AO40</f>
        <v>-1.6907762580921093</v>
      </c>
      <c r="AQ39" s="79">
        <f>AN40*AO39</f>
        <v>0.6978900834312068</v>
      </c>
      <c r="AR39" s="79">
        <f>AP39-AQ39</f>
        <v>-2.388666341523316</v>
      </c>
      <c r="AS39" s="34"/>
      <c r="AT39" s="34"/>
      <c r="AU39" s="34"/>
      <c r="AV39" s="34"/>
      <c r="AW39" s="34"/>
      <c r="AX39" s="34"/>
      <c r="AY39" s="34"/>
      <c r="AZ39" s="34"/>
    </row>
    <row r="40" spans="1:52" ht="13.5" thickBot="1">
      <c r="A40" s="34"/>
      <c r="B40" s="34"/>
      <c r="C40" s="34"/>
      <c r="D40" s="39" t="s">
        <v>72</v>
      </c>
      <c r="E40" s="40"/>
      <c r="F40" s="40"/>
      <c r="G40" s="40"/>
      <c r="H40" s="40"/>
      <c r="I40" s="41">
        <f>IF(gleisig=2,AB32,"1-gleisig")</f>
        <v>-0.9469420606143216</v>
      </c>
      <c r="J40" s="42">
        <f>IF(gleisig=2,AC32,"1-gleisig")</f>
        <v>-0.0761625487986225</v>
      </c>
      <c r="K40" s="72"/>
      <c r="L40" s="40"/>
      <c r="M40" s="40"/>
      <c r="N40" s="41">
        <f>IF(gleisig=2,I40-$I$43,"1-gleisig")</f>
        <v>0.5554617917230517</v>
      </c>
      <c r="O40" s="41">
        <f>IF(gleisig=2,J40-$J$43,"1-gleisig")</f>
        <v>0.36340536325413053</v>
      </c>
      <c r="P40" s="100"/>
      <c r="Q40" s="34"/>
      <c r="R40" s="34"/>
      <c r="S40" s="93" t="s">
        <v>122</v>
      </c>
      <c r="T40" s="101">
        <f>2.3-0.33</f>
        <v>1.9699999999999998</v>
      </c>
      <c r="U40" s="95" t="s">
        <v>2</v>
      </c>
      <c r="V40" s="34"/>
      <c r="W40" s="77"/>
      <c r="X40" s="40"/>
      <c r="Y40" s="40"/>
      <c r="Z40" s="40"/>
      <c r="AA40" s="90" t="s">
        <v>79</v>
      </c>
      <c r="AB40" s="102"/>
      <c r="AC40" s="102"/>
      <c r="AD40" s="82"/>
      <c r="AE40" s="82"/>
      <c r="AF40" s="82">
        <f>SUM(AF32:AF39)/2</f>
        <v>-5.392464831223579</v>
      </c>
      <c r="AG40" s="40" t="s">
        <v>21</v>
      </c>
      <c r="AH40" s="40"/>
      <c r="AI40" s="40"/>
      <c r="AJ40" s="40"/>
      <c r="AK40" s="40"/>
      <c r="AL40" s="78"/>
      <c r="AM40" s="91" t="s">
        <v>43</v>
      </c>
      <c r="AN40" s="79">
        <f t="shared" si="11"/>
        <v>3.553064396907839</v>
      </c>
      <c r="AO40" s="79">
        <f t="shared" si="11"/>
        <v>-0.6923413245150134</v>
      </c>
      <c r="AP40" s="79">
        <f>AN40*AO41</f>
        <v>-1.578734895689954</v>
      </c>
      <c r="AQ40" s="79">
        <f>AN41*AO40</f>
        <v>0.9742294830272545</v>
      </c>
      <c r="AR40" s="79">
        <f>AP40-AQ40</f>
        <v>-2.5529643787172085</v>
      </c>
      <c r="AS40" s="34"/>
      <c r="AT40" s="34"/>
      <c r="AU40" s="34"/>
      <c r="AV40" s="34"/>
      <c r="AW40" s="34"/>
      <c r="AX40" s="34"/>
      <c r="AY40" s="34"/>
      <c r="AZ40" s="34"/>
    </row>
    <row r="41" spans="1:52" ht="12.75">
      <c r="A41" s="34"/>
      <c r="B41" s="34"/>
      <c r="C41" s="34"/>
      <c r="D41" s="39" t="s">
        <v>70</v>
      </c>
      <c r="E41" s="40"/>
      <c r="F41" s="40"/>
      <c r="G41" s="40"/>
      <c r="H41" s="40"/>
      <c r="I41" s="41">
        <f aca="true" t="shared" si="12" ref="I41:I47">IF(gleisig=2,AB33,"1-gleisig")</f>
        <v>2.442113735268513</v>
      </c>
      <c r="J41" s="42">
        <f aca="true" t="shared" si="13" ref="J41:J47">IF(gleisig=2,AC33,"1-gleisig")</f>
        <v>0.19641920479644745</v>
      </c>
      <c r="K41" s="72"/>
      <c r="L41" s="40"/>
      <c r="M41" s="40"/>
      <c r="N41" s="41">
        <f>IF(gleisig=2,I41-$I$43,"1-gleisig")</f>
        <v>3.9445175876058864</v>
      </c>
      <c r="O41" s="41">
        <f>IF(gleisig=2,J41-$J$43,"1-gleisig")</f>
        <v>0.6359871168492005</v>
      </c>
      <c r="P41" s="100"/>
      <c r="Q41" s="34"/>
      <c r="R41" s="34"/>
      <c r="S41" s="34"/>
      <c r="T41" s="34"/>
      <c r="U41" s="34"/>
      <c r="V41" s="34"/>
      <c r="W41" s="77"/>
      <c r="X41" s="40"/>
      <c r="Y41" s="40"/>
      <c r="Z41" s="40"/>
      <c r="AA41" s="40"/>
      <c r="AB41" s="40"/>
      <c r="AC41" s="40"/>
      <c r="AD41" s="40"/>
      <c r="AE41" s="40"/>
      <c r="AF41" s="40"/>
      <c r="AG41" s="40"/>
      <c r="AH41" s="40"/>
      <c r="AI41" s="40"/>
      <c r="AJ41" s="40"/>
      <c r="AK41" s="40"/>
      <c r="AL41" s="78"/>
      <c r="AM41" s="91" t="s">
        <v>71</v>
      </c>
      <c r="AN41" s="79">
        <f>(AC27-AC16)/(X13+X15)</f>
        <v>-1.4071520051323014</v>
      </c>
      <c r="AO41" s="79">
        <f>AN41*X13+AC16</f>
        <v>-0.44433050441300626</v>
      </c>
      <c r="AP41" s="79">
        <f>AN41*AO42</f>
        <v>0.1071722832579684</v>
      </c>
      <c r="AQ41" s="79">
        <f>AN42*AO41</f>
        <v>0.4207552434426531</v>
      </c>
      <c r="AR41" s="79">
        <f>AP41-AQ41</f>
        <v>-0.3135829601846847</v>
      </c>
      <c r="AS41" s="34"/>
      <c r="AT41" s="34"/>
      <c r="AU41" s="34"/>
      <c r="AV41" s="34"/>
      <c r="AW41" s="34"/>
      <c r="AX41" s="34"/>
      <c r="AY41" s="34"/>
      <c r="AZ41" s="34"/>
    </row>
    <row r="42" spans="1:52" ht="12.75">
      <c r="A42" s="34"/>
      <c r="B42" s="34"/>
      <c r="C42" s="34"/>
      <c r="D42" s="39" t="s">
        <v>43</v>
      </c>
      <c r="E42" s="40"/>
      <c r="F42" s="40"/>
      <c r="G42" s="40"/>
      <c r="H42" s="40"/>
      <c r="I42" s="41">
        <f t="shared" si="12"/>
        <v>3.553064396907839</v>
      </c>
      <c r="J42" s="42">
        <f t="shared" si="13"/>
        <v>-0.6923413245150134</v>
      </c>
      <c r="K42" s="72"/>
      <c r="L42" s="40"/>
      <c r="M42" s="40"/>
      <c r="N42" s="41">
        <f>IF(gleisig=2,I42-$I$43,"1-gleisig")</f>
        <v>5.055468249245212</v>
      </c>
      <c r="O42" s="41">
        <f>IF(gleisig=2,J42-$J$43,"1-gleisig")</f>
        <v>-0.25277341246226037</v>
      </c>
      <c r="P42" s="100"/>
      <c r="Q42" s="34"/>
      <c r="R42" s="34"/>
      <c r="S42" s="34"/>
      <c r="T42" s="34"/>
      <c r="U42" s="34"/>
      <c r="V42" s="34"/>
      <c r="W42" s="77"/>
      <c r="X42" s="40"/>
      <c r="Y42" s="40"/>
      <c r="Z42" s="40"/>
      <c r="AA42" s="40" t="s">
        <v>74</v>
      </c>
      <c r="AB42" s="40"/>
      <c r="AC42" s="40"/>
      <c r="AD42" s="40"/>
      <c r="AE42" s="40"/>
      <c r="AF42" s="40"/>
      <c r="AG42" s="40"/>
      <c r="AH42" s="40"/>
      <c r="AI42" s="40"/>
      <c r="AJ42" s="40"/>
      <c r="AK42" s="40"/>
      <c r="AL42" s="78"/>
      <c r="AM42" s="91" t="s">
        <v>72</v>
      </c>
      <c r="AN42" s="79">
        <f>AN38</f>
        <v>-0.9469420606143216</v>
      </c>
      <c r="AO42" s="79">
        <f>AO38</f>
        <v>-0.0761625487986225</v>
      </c>
      <c r="AP42" s="79">
        <f>AN42*AO43</f>
        <v>0</v>
      </c>
      <c r="AQ42" s="79">
        <f>AN43*AO42</f>
        <v>0</v>
      </c>
      <c r="AR42" s="79">
        <f>AP42-AQ42</f>
        <v>0</v>
      </c>
      <c r="AS42" s="34"/>
      <c r="AT42" s="34"/>
      <c r="AU42" s="34"/>
      <c r="AV42" s="34"/>
      <c r="AW42" s="34"/>
      <c r="AX42" s="34"/>
      <c r="AY42" s="34"/>
      <c r="AZ42" s="34"/>
    </row>
    <row r="43" spans="1:52" ht="13.5" thickBot="1">
      <c r="A43" s="34"/>
      <c r="B43" s="34"/>
      <c r="C43" s="34"/>
      <c r="D43" s="39" t="s">
        <v>59</v>
      </c>
      <c r="E43" s="40"/>
      <c r="F43" s="40"/>
      <c r="G43" s="40"/>
      <c r="H43" s="40"/>
      <c r="I43" s="41">
        <f t="shared" si="12"/>
        <v>-1.5024038523373733</v>
      </c>
      <c r="J43" s="42">
        <f t="shared" si="13"/>
        <v>-0.43956791205275303</v>
      </c>
      <c r="K43" s="72"/>
      <c r="L43" s="40"/>
      <c r="M43" s="40"/>
      <c r="N43" s="41">
        <f>IF(gleisig=2,0,"1-gleisig")</f>
        <v>0</v>
      </c>
      <c r="O43" s="41">
        <f>IF(gleisig=2,0,"1-gleisig")</f>
        <v>0</v>
      </c>
      <c r="P43" s="100"/>
      <c r="Q43" s="34" t="s">
        <v>25</v>
      </c>
      <c r="R43" s="34"/>
      <c r="S43" s="34"/>
      <c r="T43" s="34"/>
      <c r="U43" s="34"/>
      <c r="V43" s="34"/>
      <c r="W43" s="77"/>
      <c r="X43" s="40"/>
      <c r="Y43" s="40"/>
      <c r="Z43" s="40"/>
      <c r="AA43" s="90" t="s">
        <v>30</v>
      </c>
      <c r="AB43" s="90" t="s">
        <v>46</v>
      </c>
      <c r="AC43" s="90" t="s">
        <v>47</v>
      </c>
      <c r="AD43" s="90" t="s">
        <v>78</v>
      </c>
      <c r="AE43" s="90" t="s">
        <v>77</v>
      </c>
      <c r="AF43" s="40"/>
      <c r="AG43" s="40"/>
      <c r="AH43" s="40"/>
      <c r="AI43" s="40"/>
      <c r="AJ43" s="40"/>
      <c r="AK43" s="40"/>
      <c r="AL43" s="78"/>
      <c r="AM43" s="60" t="s">
        <v>105</v>
      </c>
      <c r="AN43" s="60"/>
      <c r="AO43" s="60"/>
      <c r="AP43" s="60"/>
      <c r="AQ43" s="60"/>
      <c r="AR43" s="96">
        <f>SUM(AR38:AR42)/2</f>
        <v>-2.627606840212605</v>
      </c>
      <c r="AS43" s="60" t="s">
        <v>21</v>
      </c>
      <c r="AT43" s="34"/>
      <c r="AU43" s="34"/>
      <c r="AV43" s="34"/>
      <c r="AW43" s="34"/>
      <c r="AX43" s="34"/>
      <c r="AY43" s="34"/>
      <c r="AZ43" s="34"/>
    </row>
    <row r="44" spans="1:52" ht="12.75">
      <c r="A44" s="34"/>
      <c r="B44" s="34"/>
      <c r="C44" s="34"/>
      <c r="D44" s="39" t="s">
        <v>37</v>
      </c>
      <c r="E44" s="40"/>
      <c r="F44" s="40"/>
      <c r="G44" s="40"/>
      <c r="H44" s="40"/>
      <c r="I44" s="41">
        <f t="shared" si="12"/>
        <v>-6.194451758838293</v>
      </c>
      <c r="J44" s="42">
        <f t="shared" si="13"/>
        <v>-0.6741703073777989</v>
      </c>
      <c r="K44" s="72"/>
      <c r="L44" s="40"/>
      <c r="M44" s="40"/>
      <c r="N44" s="41">
        <f>IF(gleisig=2,I44-$I$43,"1-gleisig")</f>
        <v>-4.692047906500919</v>
      </c>
      <c r="O44" s="41">
        <f>IF(gleisig=2,J44-$J$43,"1-gleisig")</f>
        <v>-0.2346023953250459</v>
      </c>
      <c r="P44" s="100"/>
      <c r="Q44" s="34"/>
      <c r="R44" s="34"/>
      <c r="S44" s="103"/>
      <c r="T44" s="84">
        <v>0.6</v>
      </c>
      <c r="U44" s="85" t="s">
        <v>2</v>
      </c>
      <c r="V44" s="34"/>
      <c r="W44" s="77"/>
      <c r="X44" s="40"/>
      <c r="Y44" s="40"/>
      <c r="Z44" s="40"/>
      <c r="AA44" s="90" t="s">
        <v>33</v>
      </c>
      <c r="AB44" s="41">
        <f>AH22</f>
        <v>-2.057886264731487</v>
      </c>
      <c r="AC44" s="41">
        <f>AI22</f>
        <v>0.19641920479644745</v>
      </c>
      <c r="AD44" s="40">
        <f aca="true" t="shared" si="14" ref="AD44:AD49">AB44*AC45</f>
        <v>-0.1237372603102317</v>
      </c>
      <c r="AE44" s="40">
        <f aca="true" t="shared" si="15" ref="AE44:AE49">AB45*AC44</f>
        <v>-0.29510299510713234</v>
      </c>
      <c r="AF44" s="40">
        <f aca="true" t="shared" si="16" ref="AF44:AF49">AD44-AE44</f>
        <v>0.17136573479690065</v>
      </c>
      <c r="AG44" s="40"/>
      <c r="AH44" s="40"/>
      <c r="AI44" s="40"/>
      <c r="AJ44" s="40"/>
      <c r="AK44" s="40"/>
      <c r="AL44" s="78"/>
      <c r="AM44" s="34" t="s">
        <v>115</v>
      </c>
      <c r="AN44" s="34"/>
      <c r="AO44" s="79">
        <f>-X15*AN41+AC27</f>
        <v>-0.4443305044130066</v>
      </c>
      <c r="AP44" s="34"/>
      <c r="AQ44" s="34"/>
      <c r="AR44" s="34" t="s">
        <v>116</v>
      </c>
      <c r="AS44" s="34"/>
      <c r="AT44" s="34"/>
      <c r="AU44" s="34"/>
      <c r="AV44" s="34"/>
      <c r="AW44" s="34"/>
      <c r="AX44" s="34"/>
      <c r="AY44" s="34"/>
      <c r="AZ44" s="34"/>
    </row>
    <row r="45" spans="1:52" ht="12.75">
      <c r="A45" s="34"/>
      <c r="B45" s="34"/>
      <c r="C45" s="34"/>
      <c r="D45" s="39" t="s">
        <v>38</v>
      </c>
      <c r="E45" s="40"/>
      <c r="F45" s="40"/>
      <c r="G45" s="40"/>
      <c r="H45" s="40"/>
      <c r="I45" s="41">
        <f t="shared" si="12"/>
        <v>-5.4469420606143215</v>
      </c>
      <c r="J45" s="42">
        <f t="shared" si="13"/>
        <v>-0.0761625487986225</v>
      </c>
      <c r="K45" s="72"/>
      <c r="L45" s="40"/>
      <c r="M45" s="40"/>
      <c r="N45" s="41">
        <f>IF(gleisig=2,I45-$I$43,"1-gleisig")</f>
        <v>-3.9445382082769482</v>
      </c>
      <c r="O45" s="41">
        <f>IF(gleisig=2,J45-$J$43,"1-gleisig")</f>
        <v>0.36340536325413053</v>
      </c>
      <c r="P45" s="100"/>
      <c r="Q45" s="34"/>
      <c r="R45" s="34"/>
      <c r="S45" s="77"/>
      <c r="T45" s="87">
        <v>0.63</v>
      </c>
      <c r="U45" s="78" t="s">
        <v>2</v>
      </c>
      <c r="V45" s="34"/>
      <c r="W45" s="77"/>
      <c r="X45" s="40"/>
      <c r="Y45" s="40"/>
      <c r="Z45" s="40"/>
      <c r="AA45" s="90" t="s">
        <v>34</v>
      </c>
      <c r="AB45" s="41">
        <f>((AB44-X38)/2)+X38</f>
        <v>-1.5024141626729044</v>
      </c>
      <c r="AC45" s="41">
        <f>((AC44-Y38)/2)+Y38</f>
        <v>0.06012832799891249</v>
      </c>
      <c r="AD45" s="40">
        <f t="shared" si="14"/>
        <v>0.6604130565246138</v>
      </c>
      <c r="AE45" s="40">
        <f t="shared" si="15"/>
        <v>-0.09033703162017127</v>
      </c>
      <c r="AF45" s="40">
        <f t="shared" si="16"/>
        <v>0.750750088144785</v>
      </c>
      <c r="AG45" s="40"/>
      <c r="AH45" s="40"/>
      <c r="AI45" s="40"/>
      <c r="AJ45" s="40"/>
      <c r="AK45" s="40"/>
      <c r="AL45" s="78"/>
      <c r="AM45" s="34"/>
      <c r="AN45" s="34"/>
      <c r="AO45" s="34"/>
      <c r="AP45" s="34"/>
      <c r="AQ45" s="34"/>
      <c r="AR45" s="34" t="s">
        <v>117</v>
      </c>
      <c r="AS45" s="34"/>
      <c r="AT45" s="34"/>
      <c r="AU45" s="34"/>
      <c r="AV45" s="34"/>
      <c r="AW45" s="34"/>
      <c r="AX45" s="34"/>
      <c r="AY45" s="34"/>
      <c r="AZ45" s="34"/>
    </row>
    <row r="46" spans="1:52" ht="12.75">
      <c r="A46" s="34"/>
      <c r="B46" s="34"/>
      <c r="C46" s="34"/>
      <c r="D46" s="39" t="s">
        <v>33</v>
      </c>
      <c r="E46" s="40"/>
      <c r="F46" s="40"/>
      <c r="G46" s="40"/>
      <c r="H46" s="40"/>
      <c r="I46" s="41">
        <f t="shared" si="12"/>
        <v>-2.057886264731487</v>
      </c>
      <c r="J46" s="42">
        <f t="shared" si="13"/>
        <v>0.19641920479644745</v>
      </c>
      <c r="K46" s="72"/>
      <c r="L46" s="40"/>
      <c r="M46" s="40"/>
      <c r="N46" s="41">
        <f>IF(gleisig=2,I46-$I$43,"1-gleisig")</f>
        <v>-0.5554824123941136</v>
      </c>
      <c r="O46" s="41">
        <f>IF(gleisig=2,J46-$J$43,"1-gleisig")</f>
        <v>0.6359871168492005</v>
      </c>
      <c r="P46" s="100"/>
      <c r="Q46" s="34"/>
      <c r="R46" s="34"/>
      <c r="S46" s="77"/>
      <c r="T46" s="87">
        <v>0.65</v>
      </c>
      <c r="U46" s="78" t="s">
        <v>2</v>
      </c>
      <c r="V46" s="34"/>
      <c r="W46" s="77"/>
      <c r="X46" s="40"/>
      <c r="Y46" s="40"/>
      <c r="Z46" s="40"/>
      <c r="AA46" s="90" t="s">
        <v>35</v>
      </c>
      <c r="AB46" s="41">
        <f>X36</f>
        <v>-1.5024038523373733</v>
      </c>
      <c r="AC46" s="41">
        <f>Y36</f>
        <v>-0.43956791205275303</v>
      </c>
      <c r="AD46" s="40">
        <f t="shared" si="14"/>
        <v>1.0128760669358763</v>
      </c>
      <c r="AE46" s="40">
        <f t="shared" si="15"/>
        <v>2.7228822259440517</v>
      </c>
      <c r="AF46" s="40">
        <f t="shared" si="16"/>
        <v>-1.7100061590081754</v>
      </c>
      <c r="AG46" s="40"/>
      <c r="AH46" s="40"/>
      <c r="AI46" s="40"/>
      <c r="AJ46" s="40"/>
      <c r="AK46" s="40"/>
      <c r="AL46" s="78"/>
      <c r="AM46" s="34"/>
      <c r="AN46" s="34"/>
      <c r="AO46" s="34"/>
      <c r="AP46" s="34"/>
      <c r="AQ46" s="34"/>
      <c r="AR46" s="34"/>
      <c r="AS46" s="34"/>
      <c r="AT46" s="34"/>
      <c r="AU46" s="34"/>
      <c r="AV46" s="34"/>
      <c r="AW46" s="34"/>
      <c r="AX46" s="34"/>
      <c r="AY46" s="34"/>
      <c r="AZ46" s="34"/>
    </row>
    <row r="47" spans="1:52" ht="12.75">
      <c r="A47" s="34"/>
      <c r="B47" s="34"/>
      <c r="C47" s="34"/>
      <c r="D47" s="43" t="s">
        <v>72</v>
      </c>
      <c r="E47" s="44"/>
      <c r="F47" s="44"/>
      <c r="G47" s="44"/>
      <c r="H47" s="44"/>
      <c r="I47" s="45">
        <f t="shared" si="12"/>
        <v>-0.9469420606143216</v>
      </c>
      <c r="J47" s="46">
        <f t="shared" si="13"/>
        <v>-0.0761625487986225</v>
      </c>
      <c r="K47" s="73"/>
      <c r="L47" s="44"/>
      <c r="M47" s="44"/>
      <c r="N47" s="45">
        <f>IF(gleisig=2,I47-$I$43,"1-gleisig")</f>
        <v>0.5554617917230517</v>
      </c>
      <c r="O47" s="45">
        <f>IF(gleisig=2,J47-$J$43,"1-gleisig")</f>
        <v>0.36340536325413053</v>
      </c>
      <c r="P47" s="104"/>
      <c r="Q47" s="34"/>
      <c r="R47" s="34"/>
      <c r="S47" s="77"/>
      <c r="T47" s="87">
        <v>0.67</v>
      </c>
      <c r="U47" s="78" t="s">
        <v>2</v>
      </c>
      <c r="V47" s="34"/>
      <c r="W47" s="77"/>
      <c r="X47" s="40"/>
      <c r="Y47" s="40"/>
      <c r="Z47" s="40"/>
      <c r="AA47" s="90" t="s">
        <v>37</v>
      </c>
      <c r="AB47" s="41">
        <f>AH26</f>
        <v>-6.194451758838293</v>
      </c>
      <c r="AC47" s="41">
        <f>AI26</f>
        <v>-0.6741703073777989</v>
      </c>
      <c r="AD47" s="40">
        <f t="shared" si="14"/>
        <v>0.47178523436323444</v>
      </c>
      <c r="AE47" s="40">
        <f t="shared" si="15"/>
        <v>3.6721666032734186</v>
      </c>
      <c r="AF47" s="40">
        <f t="shared" si="16"/>
        <v>-3.2003813689101843</v>
      </c>
      <c r="AG47" s="40"/>
      <c r="AH47" s="40"/>
      <c r="AI47" s="40"/>
      <c r="AJ47" s="40"/>
      <c r="AK47" s="40"/>
      <c r="AL47" s="78"/>
      <c r="AM47" s="34"/>
      <c r="AN47" s="34"/>
      <c r="AO47" s="34"/>
      <c r="AP47" s="34"/>
      <c r="AQ47" s="34"/>
      <c r="AR47" s="34"/>
      <c r="AS47" s="34"/>
      <c r="AT47" s="34"/>
      <c r="AU47" s="34"/>
      <c r="AV47" s="34"/>
      <c r="AW47" s="34"/>
      <c r="AX47" s="34"/>
      <c r="AY47" s="34"/>
      <c r="AZ47" s="34"/>
    </row>
    <row r="48" spans="1:52" ht="4.5" customHeight="1">
      <c r="A48" s="34"/>
      <c r="B48" s="34"/>
      <c r="C48" s="34"/>
      <c r="D48" s="47"/>
      <c r="E48" s="40"/>
      <c r="F48" s="40"/>
      <c r="G48" s="40"/>
      <c r="H48" s="40"/>
      <c r="I48" s="41"/>
      <c r="J48" s="41"/>
      <c r="K48" s="34"/>
      <c r="L48" s="34"/>
      <c r="M48" s="34"/>
      <c r="N48" s="34"/>
      <c r="O48" s="34"/>
      <c r="P48" s="34"/>
      <c r="Q48" s="34"/>
      <c r="R48" s="34"/>
      <c r="S48" s="77"/>
      <c r="T48" s="87">
        <v>0.7</v>
      </c>
      <c r="U48" s="78" t="s">
        <v>2</v>
      </c>
      <c r="V48" s="34"/>
      <c r="W48" s="77"/>
      <c r="X48" s="40"/>
      <c r="Y48" s="40"/>
      <c r="Z48" s="40"/>
      <c r="AA48" s="90" t="s">
        <v>38</v>
      </c>
      <c r="AB48" s="41">
        <f>AH27</f>
        <v>-5.4469420606143215</v>
      </c>
      <c r="AC48" s="41">
        <f>AI27</f>
        <v>-0.0761625487986225</v>
      </c>
      <c r="AD48" s="40">
        <f t="shared" si="14"/>
        <v>-1.0698840281181878</v>
      </c>
      <c r="AE48" s="40">
        <f t="shared" si="15"/>
        <v>0.15673386305962683</v>
      </c>
      <c r="AF48" s="40">
        <f t="shared" si="16"/>
        <v>-1.2266178911778147</v>
      </c>
      <c r="AG48" s="40"/>
      <c r="AH48" s="40"/>
      <c r="AI48" s="40"/>
      <c r="AJ48" s="40"/>
      <c r="AK48" s="40"/>
      <c r="AL48" s="78"/>
      <c r="AM48" s="34"/>
      <c r="AN48" s="34"/>
      <c r="AO48" s="34"/>
      <c r="AP48" s="34"/>
      <c r="AQ48" s="34"/>
      <c r="AR48" s="34"/>
      <c r="AS48" s="34"/>
      <c r="AT48" s="34"/>
      <c r="AU48" s="34"/>
      <c r="AV48" s="34"/>
      <c r="AW48" s="34"/>
      <c r="AX48" s="34"/>
      <c r="AY48" s="34"/>
      <c r="AZ48" s="34"/>
    </row>
    <row r="49" spans="1:52" ht="13.5" thickBot="1">
      <c r="A49" s="34" t="s">
        <v>131</v>
      </c>
      <c r="B49" s="34"/>
      <c r="C49" s="34"/>
      <c r="D49" s="48" t="s">
        <v>30</v>
      </c>
      <c r="E49" s="37"/>
      <c r="F49" s="37"/>
      <c r="G49" s="36"/>
      <c r="H49" s="36"/>
      <c r="I49" s="37" t="s">
        <v>128</v>
      </c>
      <c r="J49" s="38" t="s">
        <v>129</v>
      </c>
      <c r="K49" s="35"/>
      <c r="L49" s="36"/>
      <c r="M49" s="36"/>
      <c r="N49" s="71" t="s">
        <v>135</v>
      </c>
      <c r="O49" s="74" t="s">
        <v>136</v>
      </c>
      <c r="P49" s="99"/>
      <c r="Q49" s="34"/>
      <c r="R49" s="34"/>
      <c r="S49" s="105"/>
      <c r="T49" s="94"/>
      <c r="U49" s="95" t="s">
        <v>2</v>
      </c>
      <c r="V49" s="34"/>
      <c r="W49" s="77"/>
      <c r="X49" s="40"/>
      <c r="Y49" s="40"/>
      <c r="Z49" s="40"/>
      <c r="AA49" s="90" t="s">
        <v>33</v>
      </c>
      <c r="AB49" s="41">
        <f>AH22</f>
        <v>-2.057886264731487</v>
      </c>
      <c r="AC49" s="41">
        <f>AI22</f>
        <v>0.19641920479644745</v>
      </c>
      <c r="AD49" s="40">
        <f t="shared" si="14"/>
        <v>0</v>
      </c>
      <c r="AE49" s="40">
        <f t="shared" si="15"/>
        <v>0</v>
      </c>
      <c r="AF49" s="40">
        <f t="shared" si="16"/>
        <v>0</v>
      </c>
      <c r="AG49" s="40"/>
      <c r="AH49" s="40"/>
      <c r="AI49" s="40"/>
      <c r="AJ49" s="40"/>
      <c r="AK49" s="40"/>
      <c r="AL49" s="78"/>
      <c r="AM49" s="34"/>
      <c r="AN49" s="34"/>
      <c r="AO49" s="34"/>
      <c r="AP49" s="34"/>
      <c r="AQ49" s="34"/>
      <c r="AR49" s="34"/>
      <c r="AS49" s="34"/>
      <c r="AT49" s="34"/>
      <c r="AU49" s="34"/>
      <c r="AV49" s="34"/>
      <c r="AW49" s="34"/>
      <c r="AX49" s="34"/>
      <c r="AY49" s="34"/>
      <c r="AZ49" s="34"/>
    </row>
    <row r="50" spans="1:52" ht="12.75">
      <c r="A50" s="34" t="s">
        <v>144</v>
      </c>
      <c r="B50" s="34"/>
      <c r="C50" s="34"/>
      <c r="D50" s="39" t="s">
        <v>32</v>
      </c>
      <c r="E50" s="41"/>
      <c r="F50" s="41"/>
      <c r="G50" s="40"/>
      <c r="H50" s="40"/>
      <c r="I50" s="41" t="str">
        <f aca="true" t="shared" si="17" ref="I50:J55">IF(gleisig=1,IF($AS$34&gt;=$AS$33,AN21,"u&lt;75"),"2-gleisig")</f>
        <v>2-gleisig</v>
      </c>
      <c r="J50" s="42" t="str">
        <f t="shared" si="17"/>
        <v>2-gleisig</v>
      </c>
      <c r="K50" s="72"/>
      <c r="L50" s="40"/>
      <c r="M50" s="40"/>
      <c r="N50" s="41" t="str">
        <f aca="true" t="shared" si="18" ref="N50:N55">IF(gleisig=1,IF($AS$34&gt;=$AS$33,I50-$AN$6,"u&lt;75"),"2-gleisig")</f>
        <v>2-gleisig</v>
      </c>
      <c r="O50" s="41" t="str">
        <f>IF(gleisig=1,IF($AS$34&gt;=$AS$33,J50-$J$52,"u&lt;75"),"2-gleisig")</f>
        <v>2-gleisig</v>
      </c>
      <c r="P50" s="100"/>
      <c r="Q50" s="34"/>
      <c r="R50" s="34"/>
      <c r="S50" s="34"/>
      <c r="T50" s="34"/>
      <c r="U50" s="34"/>
      <c r="V50" s="34"/>
      <c r="W50" s="77"/>
      <c r="X50" s="40"/>
      <c r="Y50" s="40"/>
      <c r="Z50" s="40"/>
      <c r="AA50" s="90" t="s">
        <v>79</v>
      </c>
      <c r="AB50" s="82"/>
      <c r="AC50" s="82"/>
      <c r="AD50" s="82"/>
      <c r="AE50" s="82"/>
      <c r="AF50" s="82">
        <f>SUM(AF44:AF49)/2</f>
        <v>-2.6074447980772444</v>
      </c>
      <c r="AG50" s="40" t="s">
        <v>21</v>
      </c>
      <c r="AH50" s="40"/>
      <c r="AI50" s="40"/>
      <c r="AJ50" s="40"/>
      <c r="AK50" s="40"/>
      <c r="AL50" s="78"/>
      <c r="AM50" s="34"/>
      <c r="AN50" s="34"/>
      <c r="AO50" s="34"/>
      <c r="AP50" s="34"/>
      <c r="AQ50" s="34"/>
      <c r="AR50" s="34"/>
      <c r="AS50" s="34"/>
      <c r="AT50" s="34"/>
      <c r="AU50" s="34"/>
      <c r="AV50" s="34"/>
      <c r="AW50" s="34"/>
      <c r="AX50" s="34"/>
      <c r="AY50" s="34"/>
      <c r="AZ50" s="34"/>
    </row>
    <row r="51" spans="1:52" ht="12.75">
      <c r="A51" s="34"/>
      <c r="B51" s="34"/>
      <c r="C51" s="34"/>
      <c r="D51" s="39" t="s">
        <v>33</v>
      </c>
      <c r="E51" s="41"/>
      <c r="F51" s="41"/>
      <c r="G51" s="40"/>
      <c r="H51" s="40"/>
      <c r="I51" s="41" t="str">
        <f t="shared" si="17"/>
        <v>2-gleisig</v>
      </c>
      <c r="J51" s="42" t="str">
        <f t="shared" si="17"/>
        <v>2-gleisig</v>
      </c>
      <c r="K51" s="72"/>
      <c r="L51" s="40"/>
      <c r="M51" s="40"/>
      <c r="N51" s="41" t="str">
        <f t="shared" si="18"/>
        <v>2-gleisig</v>
      </c>
      <c r="O51" s="41" t="str">
        <f>IF(gleisig=1,IF($AS$34&gt;=$AS$33,J51-$J$52,"u&lt;75"),"2-gleisig")</f>
        <v>2-gleisig</v>
      </c>
      <c r="P51" s="100"/>
      <c r="Q51" s="34"/>
      <c r="R51" s="34"/>
      <c r="S51" s="34"/>
      <c r="T51" s="34"/>
      <c r="U51" s="34"/>
      <c r="V51" s="34"/>
      <c r="W51" s="77"/>
      <c r="X51" s="40"/>
      <c r="Y51" s="40"/>
      <c r="Z51" s="40"/>
      <c r="AA51" s="40"/>
      <c r="AB51" s="40"/>
      <c r="AC51" s="40"/>
      <c r="AD51" s="40"/>
      <c r="AE51" s="40"/>
      <c r="AF51" s="40"/>
      <c r="AG51" s="40"/>
      <c r="AH51" s="40"/>
      <c r="AI51" s="40"/>
      <c r="AJ51" s="40"/>
      <c r="AK51" s="40"/>
      <c r="AL51" s="78"/>
      <c r="AM51" s="34"/>
      <c r="AN51" s="34"/>
      <c r="AO51" s="34"/>
      <c r="AP51" s="34"/>
      <c r="AQ51" s="34"/>
      <c r="AR51" s="34"/>
      <c r="AS51" s="34"/>
      <c r="AT51" s="34"/>
      <c r="AU51" s="34"/>
      <c r="AV51" s="34"/>
      <c r="AW51" s="34"/>
      <c r="AX51" s="34"/>
      <c r="AY51" s="34"/>
      <c r="AZ51" s="34"/>
    </row>
    <row r="52" spans="1:52" ht="13.5" thickBot="1">
      <c r="A52" s="34"/>
      <c r="B52" s="34"/>
      <c r="C52" s="34"/>
      <c r="D52" s="39" t="s">
        <v>100</v>
      </c>
      <c r="E52" s="41"/>
      <c r="F52" s="41"/>
      <c r="G52" s="40"/>
      <c r="H52" s="40"/>
      <c r="I52" s="41" t="str">
        <f t="shared" si="17"/>
        <v>2-gleisig</v>
      </c>
      <c r="J52" s="42" t="str">
        <f t="shared" si="17"/>
        <v>2-gleisig</v>
      </c>
      <c r="K52" s="72"/>
      <c r="L52" s="40"/>
      <c r="M52" s="40"/>
      <c r="N52" s="41" t="str">
        <f t="shared" si="18"/>
        <v>2-gleisig</v>
      </c>
      <c r="O52" s="41" t="str">
        <f>IF(gleisig=1,IF($AS$34&gt;=$AS$33,0,"u&lt;75"),"2-gleisig")</f>
        <v>2-gleisig</v>
      </c>
      <c r="P52" s="100"/>
      <c r="Q52" s="34" t="s">
        <v>26</v>
      </c>
      <c r="R52" s="34"/>
      <c r="S52" s="34"/>
      <c r="T52" s="34"/>
      <c r="U52" s="34"/>
      <c r="V52" s="34"/>
      <c r="W52" s="77"/>
      <c r="X52" s="40"/>
      <c r="Y52" s="40"/>
      <c r="Z52" s="40"/>
      <c r="AA52" s="40" t="s">
        <v>75</v>
      </c>
      <c r="AB52" s="40"/>
      <c r="AC52" s="40"/>
      <c r="AD52" s="40"/>
      <c r="AE52" s="40"/>
      <c r="AF52" s="40"/>
      <c r="AG52" s="40"/>
      <c r="AH52" s="40"/>
      <c r="AI52" s="40"/>
      <c r="AJ52" s="40"/>
      <c r="AK52" s="40"/>
      <c r="AL52" s="78"/>
      <c r="AM52" s="34"/>
      <c r="AN52" s="34"/>
      <c r="AO52" s="34"/>
      <c r="AP52" s="34"/>
      <c r="AQ52" s="34"/>
      <c r="AR52" s="34"/>
      <c r="AS52" s="34"/>
      <c r="AT52" s="34"/>
      <c r="AU52" s="34"/>
      <c r="AV52" s="34"/>
      <c r="AW52" s="34"/>
      <c r="AX52" s="34"/>
      <c r="AY52" s="34"/>
      <c r="AZ52" s="34"/>
    </row>
    <row r="53" spans="1:52" ht="12.75">
      <c r="A53" s="34"/>
      <c r="B53" s="34"/>
      <c r="C53" s="34"/>
      <c r="D53" s="39" t="s">
        <v>36</v>
      </c>
      <c r="E53" s="41"/>
      <c r="F53" s="41"/>
      <c r="G53" s="40"/>
      <c r="H53" s="40"/>
      <c r="I53" s="41" t="str">
        <f t="shared" si="17"/>
        <v>2-gleisig</v>
      </c>
      <c r="J53" s="42" t="str">
        <f t="shared" si="17"/>
        <v>2-gleisig</v>
      </c>
      <c r="K53" s="72"/>
      <c r="L53" s="40"/>
      <c r="M53" s="40"/>
      <c r="N53" s="41" t="str">
        <f t="shared" si="18"/>
        <v>2-gleisig</v>
      </c>
      <c r="O53" s="41" t="str">
        <f>IF(gleisig=1,IF($AS$34&gt;=$AS$33,J53-$J$52,"u&lt;75"),"2-gleisig")</f>
        <v>2-gleisig</v>
      </c>
      <c r="P53" s="100"/>
      <c r="Q53" s="34"/>
      <c r="R53" s="34"/>
      <c r="S53" s="103"/>
      <c r="T53" s="84">
        <v>0.2</v>
      </c>
      <c r="U53" s="85" t="s">
        <v>2</v>
      </c>
      <c r="V53" s="34"/>
      <c r="W53" s="77"/>
      <c r="X53" s="40"/>
      <c r="Y53" s="40"/>
      <c r="Z53" s="40"/>
      <c r="AA53" s="90" t="s">
        <v>30</v>
      </c>
      <c r="AB53" s="90" t="s">
        <v>46</v>
      </c>
      <c r="AC53" s="90" t="s">
        <v>47</v>
      </c>
      <c r="AD53" s="90" t="s">
        <v>78</v>
      </c>
      <c r="AE53" s="90" t="s">
        <v>77</v>
      </c>
      <c r="AF53" s="40"/>
      <c r="AG53" s="40"/>
      <c r="AH53" s="40"/>
      <c r="AI53" s="40"/>
      <c r="AJ53" s="40"/>
      <c r="AK53" s="40"/>
      <c r="AL53" s="78"/>
      <c r="AM53" s="34"/>
      <c r="AN53" s="34"/>
      <c r="AO53" s="34"/>
      <c r="AP53" s="34"/>
      <c r="AQ53" s="34"/>
      <c r="AR53" s="34"/>
      <c r="AS53" s="34"/>
      <c r="AT53" s="34"/>
      <c r="AU53" s="34"/>
      <c r="AV53" s="34"/>
      <c r="AW53" s="34"/>
      <c r="AX53" s="34"/>
      <c r="AY53" s="34"/>
      <c r="AZ53" s="34"/>
    </row>
    <row r="54" spans="1:52" ht="12.75">
      <c r="A54" s="34"/>
      <c r="B54" s="34"/>
      <c r="C54" s="34"/>
      <c r="D54" s="39" t="s">
        <v>37</v>
      </c>
      <c r="E54" s="41"/>
      <c r="F54" s="41"/>
      <c r="G54" s="40"/>
      <c r="H54" s="40"/>
      <c r="I54" s="41" t="str">
        <f t="shared" si="17"/>
        <v>2-gleisig</v>
      </c>
      <c r="J54" s="42" t="str">
        <f t="shared" si="17"/>
        <v>2-gleisig</v>
      </c>
      <c r="K54" s="72"/>
      <c r="L54" s="40"/>
      <c r="M54" s="40"/>
      <c r="N54" s="41" t="str">
        <f t="shared" si="18"/>
        <v>2-gleisig</v>
      </c>
      <c r="O54" s="41" t="str">
        <f>IF(gleisig=1,IF($AS$34&gt;=$AS$33,J54-$J$52,"u&lt;75"),"2-gleisig")</f>
        <v>2-gleisig</v>
      </c>
      <c r="P54" s="100"/>
      <c r="Q54" s="34"/>
      <c r="R54" s="34"/>
      <c r="S54" s="77"/>
      <c r="T54" s="87">
        <v>0.25</v>
      </c>
      <c r="U54" s="78" t="s">
        <v>2</v>
      </c>
      <c r="V54" s="34"/>
      <c r="W54" s="77"/>
      <c r="X54" s="40"/>
      <c r="Y54" s="40"/>
      <c r="Z54" s="40"/>
      <c r="AA54" s="90" t="s">
        <v>70</v>
      </c>
      <c r="AB54" s="41">
        <f>X33</f>
        <v>2.442113735268513</v>
      </c>
      <c r="AC54" s="41">
        <f>Y33</f>
        <v>0.19641920479644745</v>
      </c>
      <c r="AD54" s="40">
        <f aca="true" t="shared" si="19" ref="AD54:AD59">AB54*AC55</f>
        <v>-1.6907762580921093</v>
      </c>
      <c r="AE54" s="40">
        <f aca="true" t="shared" si="20" ref="AE54:AE59">AB55*AC54</f>
        <v>0.6978900834312068</v>
      </c>
      <c r="AF54" s="40">
        <f aca="true" t="shared" si="21" ref="AF54:AF59">AD54-AE54</f>
        <v>-2.388666341523316</v>
      </c>
      <c r="AG54" s="40"/>
      <c r="AH54" s="40"/>
      <c r="AI54" s="40"/>
      <c r="AJ54" s="40"/>
      <c r="AK54" s="40"/>
      <c r="AL54" s="78"/>
      <c r="AM54" s="34"/>
      <c r="AN54" s="34"/>
      <c r="AO54" s="34"/>
      <c r="AP54" s="34"/>
      <c r="AQ54" s="34"/>
      <c r="AR54" s="34"/>
      <c r="AS54" s="34"/>
      <c r="AT54" s="34"/>
      <c r="AU54" s="34"/>
      <c r="AV54" s="34"/>
      <c r="AW54" s="34"/>
      <c r="AX54" s="34"/>
      <c r="AY54" s="34"/>
      <c r="AZ54" s="34"/>
    </row>
    <row r="55" spans="1:52" ht="12.75">
      <c r="A55" s="34"/>
      <c r="B55" s="34"/>
      <c r="C55" s="34"/>
      <c r="D55" s="39" t="s">
        <v>38</v>
      </c>
      <c r="E55" s="41"/>
      <c r="F55" s="41"/>
      <c r="G55" s="40"/>
      <c r="H55" s="40"/>
      <c r="I55" s="41" t="str">
        <f t="shared" si="17"/>
        <v>2-gleisig</v>
      </c>
      <c r="J55" s="42" t="str">
        <f t="shared" si="17"/>
        <v>2-gleisig</v>
      </c>
      <c r="K55" s="72"/>
      <c r="L55" s="40"/>
      <c r="M55" s="40"/>
      <c r="N55" s="41" t="str">
        <f t="shared" si="18"/>
        <v>2-gleisig</v>
      </c>
      <c r="O55" s="41" t="str">
        <f>IF(gleisig=1,IF($AS$34&gt;=$AS$33,J55-$J$52,"u&lt;75"),"2-gleisig")</f>
        <v>2-gleisig</v>
      </c>
      <c r="P55" s="100"/>
      <c r="Q55" s="34"/>
      <c r="R55" s="34"/>
      <c r="S55" s="77"/>
      <c r="T55" s="87">
        <v>0.3</v>
      </c>
      <c r="U55" s="78" t="s">
        <v>2</v>
      </c>
      <c r="V55" s="34"/>
      <c r="W55" s="77"/>
      <c r="X55" s="40"/>
      <c r="Y55" s="40"/>
      <c r="Z55" s="40"/>
      <c r="AA55" s="90" t="s">
        <v>43</v>
      </c>
      <c r="AB55" s="41">
        <f>X34</f>
        <v>3.553064396907839</v>
      </c>
      <c r="AC55" s="41">
        <f>Y34</f>
        <v>-0.6923413245150134</v>
      </c>
      <c r="AD55" s="40">
        <f t="shared" si="19"/>
        <v>-1.561813098337753</v>
      </c>
      <c r="AE55" s="40">
        <f t="shared" si="20"/>
        <v>1.0401762730837156</v>
      </c>
      <c r="AF55" s="40">
        <f t="shared" si="21"/>
        <v>-2.6019893714214684</v>
      </c>
      <c r="AG55" s="40"/>
      <c r="AH55" s="40"/>
      <c r="AI55" s="40"/>
      <c r="AJ55" s="40"/>
      <c r="AK55" s="40"/>
      <c r="AL55" s="78"/>
      <c r="AM55" s="34"/>
      <c r="AN55" s="34"/>
      <c r="AO55" s="34"/>
      <c r="AP55" s="34"/>
      <c r="AQ55" s="34"/>
      <c r="AR55" s="34"/>
      <c r="AS55" s="34"/>
      <c r="AT55" s="34"/>
      <c r="AU55" s="34"/>
      <c r="AV55" s="34"/>
      <c r="AW55" s="34"/>
      <c r="AX55" s="34"/>
      <c r="AY55" s="34"/>
      <c r="AZ55" s="34"/>
    </row>
    <row r="56" spans="1:52" ht="12" customHeight="1">
      <c r="A56" s="34"/>
      <c r="B56" s="34"/>
      <c r="C56" s="34"/>
      <c r="D56" s="43" t="s">
        <v>32</v>
      </c>
      <c r="E56" s="45"/>
      <c r="F56" s="45"/>
      <c r="G56" s="44"/>
      <c r="H56" s="44"/>
      <c r="I56" s="45" t="str">
        <f>I50</f>
        <v>2-gleisig</v>
      </c>
      <c r="J56" s="46" t="str">
        <f>J50</f>
        <v>2-gleisig</v>
      </c>
      <c r="K56" s="73"/>
      <c r="L56" s="44"/>
      <c r="M56" s="44"/>
      <c r="N56" s="45" t="str">
        <f>N50</f>
        <v>2-gleisig</v>
      </c>
      <c r="O56" s="45" t="str">
        <f>O50</f>
        <v>2-gleisig</v>
      </c>
      <c r="P56" s="104"/>
      <c r="Q56" s="34"/>
      <c r="R56" s="34"/>
      <c r="S56" s="77"/>
      <c r="T56" s="87">
        <v>0.35</v>
      </c>
      <c r="U56" s="78" t="s">
        <v>2</v>
      </c>
      <c r="V56" s="34"/>
      <c r="W56" s="77"/>
      <c r="X56" s="40"/>
      <c r="Y56" s="40"/>
      <c r="Z56" s="40"/>
      <c r="AA56" s="90" t="s">
        <v>71</v>
      </c>
      <c r="AB56" s="41">
        <f>X36</f>
        <v>-1.5024038523373733</v>
      </c>
      <c r="AC56" s="41">
        <f>Y36</f>
        <v>-0.43956791205275303</v>
      </c>
      <c r="AD56" s="40">
        <f t="shared" si="19"/>
        <v>-0.09033703162017127</v>
      </c>
      <c r="AE56" s="40">
        <f t="shared" si="20"/>
        <v>0.6604130565246138</v>
      </c>
      <c r="AF56" s="40">
        <f t="shared" si="21"/>
        <v>-0.750750088144785</v>
      </c>
      <c r="AG56" s="40"/>
      <c r="AH56" s="40"/>
      <c r="AI56" s="40"/>
      <c r="AJ56" s="40"/>
      <c r="AK56" s="40"/>
      <c r="AL56" s="78"/>
      <c r="AM56" s="34"/>
      <c r="AN56" s="34"/>
      <c r="AO56" s="34"/>
      <c r="AP56" s="34"/>
      <c r="AQ56" s="34"/>
      <c r="AR56" s="34"/>
      <c r="AS56" s="34"/>
      <c r="AT56" s="34"/>
      <c r="AU56" s="34"/>
      <c r="AV56" s="34"/>
      <c r="AW56" s="34"/>
      <c r="AX56" s="34"/>
      <c r="AY56" s="34"/>
      <c r="AZ56" s="34"/>
    </row>
    <row r="57" spans="1:52" ht="12.75">
      <c r="A57" s="34"/>
      <c r="B57" s="34"/>
      <c r="C57" s="34"/>
      <c r="D57" s="34"/>
      <c r="E57" s="34"/>
      <c r="F57" s="34"/>
      <c r="G57" s="34"/>
      <c r="H57" s="34"/>
      <c r="I57" s="34"/>
      <c r="J57" s="34"/>
      <c r="K57" s="34"/>
      <c r="L57" s="34"/>
      <c r="M57" s="34"/>
      <c r="N57" s="34"/>
      <c r="O57" s="34"/>
      <c r="P57" s="34"/>
      <c r="Q57" s="34"/>
      <c r="R57" s="34"/>
      <c r="S57" s="77"/>
      <c r="T57" s="87">
        <v>0.4</v>
      </c>
      <c r="U57" s="78" t="s">
        <v>2</v>
      </c>
      <c r="V57" s="34"/>
      <c r="W57" s="77"/>
      <c r="X57" s="40"/>
      <c r="Y57" s="40"/>
      <c r="Z57" s="40"/>
      <c r="AA57" s="90" t="s">
        <v>76</v>
      </c>
      <c r="AB57" s="41">
        <f>((AB44-X38)/2)+X38</f>
        <v>-1.5024141626729044</v>
      </c>
      <c r="AC57" s="41">
        <f>((AC44-Y38)/2)+Y38</f>
        <v>0.06012832799891249</v>
      </c>
      <c r="AD57" s="40">
        <f t="shared" si="19"/>
        <v>0.11442769198031665</v>
      </c>
      <c r="AE57" s="40">
        <f t="shared" si="20"/>
        <v>-0.056938042816584</v>
      </c>
      <c r="AF57" s="40">
        <f t="shared" si="21"/>
        <v>0.17136573479690065</v>
      </c>
      <c r="AG57" s="40"/>
      <c r="AH57" s="40"/>
      <c r="AI57" s="40"/>
      <c r="AJ57" s="40"/>
      <c r="AK57" s="40"/>
      <c r="AL57" s="78"/>
      <c r="AM57" s="34"/>
      <c r="AN57" s="34"/>
      <c r="AO57" s="34"/>
      <c r="AP57" s="34"/>
      <c r="AQ57" s="34"/>
      <c r="AR57" s="34"/>
      <c r="AS57" s="34"/>
      <c r="AT57" s="34"/>
      <c r="AU57" s="34"/>
      <c r="AV57" s="34"/>
      <c r="AW57" s="34"/>
      <c r="AX57" s="34"/>
      <c r="AY57" s="34"/>
      <c r="AZ57" s="34"/>
    </row>
    <row r="58" spans="1:52" ht="13.5" thickBot="1">
      <c r="A58" s="34" t="s">
        <v>131</v>
      </c>
      <c r="B58" s="34"/>
      <c r="C58" s="34"/>
      <c r="D58" s="48" t="s">
        <v>30</v>
      </c>
      <c r="E58" s="37"/>
      <c r="F58" s="37"/>
      <c r="G58" s="36"/>
      <c r="H58" s="36"/>
      <c r="I58" s="37" t="s">
        <v>126</v>
      </c>
      <c r="J58" s="38" t="s">
        <v>127</v>
      </c>
      <c r="K58" s="36"/>
      <c r="L58" s="36"/>
      <c r="M58" s="36"/>
      <c r="N58" s="71" t="s">
        <v>135</v>
      </c>
      <c r="O58" s="74" t="s">
        <v>136</v>
      </c>
      <c r="P58" s="99"/>
      <c r="Q58" s="34"/>
      <c r="R58" s="34"/>
      <c r="S58" s="105"/>
      <c r="T58" s="94"/>
      <c r="U58" s="95" t="s">
        <v>2</v>
      </c>
      <c r="V58" s="34"/>
      <c r="W58" s="77"/>
      <c r="X58" s="40"/>
      <c r="Y58" s="40"/>
      <c r="Z58" s="40"/>
      <c r="AA58" s="90" t="s">
        <v>72</v>
      </c>
      <c r="AB58" s="41">
        <f>X38</f>
        <v>-0.9469420606143216</v>
      </c>
      <c r="AC58" s="41">
        <f>Y38</f>
        <v>-0.0761625487986225</v>
      </c>
      <c r="AD58" s="40">
        <f t="shared" si="19"/>
        <v>-0.18599760653417438</v>
      </c>
      <c r="AE58" s="40">
        <f t="shared" si="20"/>
        <v>-0.1859976065341744</v>
      </c>
      <c r="AF58" s="40">
        <f t="shared" si="21"/>
        <v>0</v>
      </c>
      <c r="AG58" s="40"/>
      <c r="AH58" s="40"/>
      <c r="AI58" s="40"/>
      <c r="AJ58" s="40"/>
      <c r="AK58" s="40"/>
      <c r="AL58" s="78"/>
      <c r="AM58" s="34"/>
      <c r="AN58" s="34"/>
      <c r="AO58" s="34"/>
      <c r="AP58" s="34"/>
      <c r="AQ58" s="34"/>
      <c r="AR58" s="34"/>
      <c r="AS58" s="34"/>
      <c r="AT58" s="34"/>
      <c r="AU58" s="34"/>
      <c r="AV58" s="34"/>
      <c r="AW58" s="34"/>
      <c r="AX58" s="34"/>
      <c r="AY58" s="34"/>
      <c r="AZ58" s="34"/>
    </row>
    <row r="59" spans="1:52" ht="12.75">
      <c r="A59" s="34" t="s">
        <v>143</v>
      </c>
      <c r="B59" s="34"/>
      <c r="C59" s="34"/>
      <c r="D59" s="39" t="s">
        <v>72</v>
      </c>
      <c r="E59" s="41"/>
      <c r="F59" s="41"/>
      <c r="G59" s="40"/>
      <c r="H59" s="40"/>
      <c r="I59" s="41" t="str">
        <f aca="true" t="shared" si="22" ref="I59:J62">IF(gleisig=1,IF($AS$34&lt;$AS$33,AN38,"u&gt;=75"),"2-gleisig")</f>
        <v>2-gleisig</v>
      </c>
      <c r="J59" s="42" t="str">
        <f t="shared" si="22"/>
        <v>2-gleisig</v>
      </c>
      <c r="K59" s="40"/>
      <c r="L59" s="40"/>
      <c r="M59" s="40"/>
      <c r="N59" s="41" t="str">
        <f>IF(gleisig=1,IF($AS$34&lt;$AS$33,I59-$AN$6,"u&gt;=75"),"2-gleisig")</f>
        <v>2-gleisig</v>
      </c>
      <c r="O59" s="41" t="str">
        <f>IF(gleisig=1,IF($AS$34&lt;$AS$33,J59-$J$62,"u&gt;=75"),"2-gleisig")</f>
        <v>2-gleisig</v>
      </c>
      <c r="P59" s="100"/>
      <c r="Q59" s="34"/>
      <c r="R59" s="34"/>
      <c r="S59" s="34"/>
      <c r="T59" s="34"/>
      <c r="U59" s="34"/>
      <c r="V59" s="34"/>
      <c r="W59" s="77"/>
      <c r="X59" s="40"/>
      <c r="Y59" s="40"/>
      <c r="Z59" s="40"/>
      <c r="AA59" s="90" t="s">
        <v>70</v>
      </c>
      <c r="AB59" s="41">
        <f>X33</f>
        <v>2.442113735268513</v>
      </c>
      <c r="AC59" s="41">
        <f>Y33</f>
        <v>0.19641920479644745</v>
      </c>
      <c r="AD59" s="40">
        <f t="shared" si="19"/>
        <v>0</v>
      </c>
      <c r="AE59" s="40">
        <f t="shared" si="20"/>
        <v>0</v>
      </c>
      <c r="AF59" s="40">
        <f t="shared" si="21"/>
        <v>0</v>
      </c>
      <c r="AG59" s="40"/>
      <c r="AH59" s="40"/>
      <c r="AI59" s="40"/>
      <c r="AJ59" s="40"/>
      <c r="AK59" s="40"/>
      <c r="AL59" s="78"/>
      <c r="AM59" s="34"/>
      <c r="AN59" s="34"/>
      <c r="AO59" s="34"/>
      <c r="AP59" s="34"/>
      <c r="AQ59" s="34"/>
      <c r="AR59" s="34"/>
      <c r="AS59" s="34"/>
      <c r="AT59" s="34"/>
      <c r="AU59" s="34"/>
      <c r="AV59" s="34"/>
      <c r="AW59" s="34"/>
      <c r="AX59" s="34"/>
      <c r="AY59" s="34"/>
      <c r="AZ59" s="34"/>
    </row>
    <row r="60" spans="1:52" ht="12.75">
      <c r="A60" s="34"/>
      <c r="B60" s="34"/>
      <c r="C60" s="34"/>
      <c r="D60" s="39" t="s">
        <v>70</v>
      </c>
      <c r="E60" s="41"/>
      <c r="F60" s="41"/>
      <c r="G60" s="40"/>
      <c r="H60" s="40"/>
      <c r="I60" s="41" t="str">
        <f t="shared" si="22"/>
        <v>2-gleisig</v>
      </c>
      <c r="J60" s="42" t="str">
        <f t="shared" si="22"/>
        <v>2-gleisig</v>
      </c>
      <c r="K60" s="40"/>
      <c r="L60" s="75"/>
      <c r="M60" s="40"/>
      <c r="N60" s="41" t="str">
        <f>IF(gleisig=1,IF($AS$34&lt;$AS$33,I60-$AN$6,"u&gt;=75"),"2-gleisig")</f>
        <v>2-gleisig</v>
      </c>
      <c r="O60" s="41" t="str">
        <f>IF(gleisig=1,IF($AS$34&lt;$AS$33,J60-$J$62,"u&gt;=75"),"2-gleisig")</f>
        <v>2-gleisig</v>
      </c>
      <c r="P60" s="100"/>
      <c r="Q60" s="34"/>
      <c r="R60" s="34"/>
      <c r="S60" s="34"/>
      <c r="T60" s="34"/>
      <c r="U60" s="34"/>
      <c r="V60" s="34"/>
      <c r="W60" s="77"/>
      <c r="X60" s="40"/>
      <c r="Y60" s="40"/>
      <c r="Z60" s="40"/>
      <c r="AA60" s="90" t="s">
        <v>79</v>
      </c>
      <c r="AB60" s="82"/>
      <c r="AC60" s="82"/>
      <c r="AD60" s="82"/>
      <c r="AE60" s="82"/>
      <c r="AF60" s="82">
        <f>SUM(AF54:AF59)/2</f>
        <v>-2.7850200331463344</v>
      </c>
      <c r="AG60" s="40" t="s">
        <v>21</v>
      </c>
      <c r="AH60" s="40"/>
      <c r="AI60" s="40"/>
      <c r="AJ60" s="40"/>
      <c r="AK60" s="40"/>
      <c r="AL60" s="78"/>
      <c r="AM60" s="34"/>
      <c r="AN60" s="34"/>
      <c r="AO60" s="34"/>
      <c r="AP60" s="34"/>
      <c r="AQ60" s="34"/>
      <c r="AR60" s="34"/>
      <c r="AS60" s="34"/>
      <c r="AT60" s="34"/>
      <c r="AU60" s="34"/>
      <c r="AV60" s="34"/>
      <c r="AW60" s="34"/>
      <c r="AX60" s="34"/>
      <c r="AY60" s="34"/>
      <c r="AZ60" s="34"/>
    </row>
    <row r="61" spans="1:52" ht="13.5" thickBot="1">
      <c r="A61" s="34"/>
      <c r="B61" s="34"/>
      <c r="C61" s="34"/>
      <c r="D61" s="39" t="s">
        <v>43</v>
      </c>
      <c r="E61" s="41"/>
      <c r="F61" s="41"/>
      <c r="G61" s="40"/>
      <c r="H61" s="40"/>
      <c r="I61" s="41" t="str">
        <f t="shared" si="22"/>
        <v>2-gleisig</v>
      </c>
      <c r="J61" s="42" t="str">
        <f t="shared" si="22"/>
        <v>2-gleisig</v>
      </c>
      <c r="K61" s="40"/>
      <c r="L61" s="76"/>
      <c r="M61" s="40"/>
      <c r="N61" s="41" t="str">
        <f>IF(gleisig=1,IF($AS$34&lt;$AS$33,I61-$AN$6,"u&gt;=75"),"2-gleisig")</f>
        <v>2-gleisig</v>
      </c>
      <c r="O61" s="41" t="str">
        <f>IF(gleisig=1,IF($AS$34&lt;$AS$33,J61-$J$62,"u&gt;=75"),"2-gleisig")</f>
        <v>2-gleisig</v>
      </c>
      <c r="P61" s="100"/>
      <c r="Q61" s="34" t="s">
        <v>27</v>
      </c>
      <c r="R61" s="34"/>
      <c r="S61" s="34"/>
      <c r="T61" s="34"/>
      <c r="U61" s="34"/>
      <c r="V61" s="34"/>
      <c r="W61" s="77"/>
      <c r="X61" s="40"/>
      <c r="Y61" s="40"/>
      <c r="Z61" s="40"/>
      <c r="AA61" s="40"/>
      <c r="AB61" s="40"/>
      <c r="AC61" s="40"/>
      <c r="AD61" s="40"/>
      <c r="AE61" s="40"/>
      <c r="AF61" s="40"/>
      <c r="AG61" s="40"/>
      <c r="AH61" s="40"/>
      <c r="AI61" s="40"/>
      <c r="AJ61" s="40"/>
      <c r="AK61" s="40"/>
      <c r="AL61" s="78"/>
      <c r="AM61" s="34"/>
      <c r="AN61" s="34"/>
      <c r="AO61" s="34"/>
      <c r="AP61" s="34"/>
      <c r="AQ61" s="34"/>
      <c r="AR61" s="34"/>
      <c r="AS61" s="34"/>
      <c r="AT61" s="34"/>
      <c r="AU61" s="34"/>
      <c r="AV61" s="34"/>
      <c r="AW61" s="34"/>
      <c r="AX61" s="34"/>
      <c r="AY61" s="34"/>
      <c r="AZ61" s="34"/>
    </row>
    <row r="62" spans="1:52" ht="12.75">
      <c r="A62" s="34"/>
      <c r="B62" s="34"/>
      <c r="C62" s="34"/>
      <c r="D62" s="39" t="s">
        <v>71</v>
      </c>
      <c r="E62" s="41"/>
      <c r="F62" s="41"/>
      <c r="G62" s="40"/>
      <c r="H62" s="40"/>
      <c r="I62" s="41" t="str">
        <f t="shared" si="22"/>
        <v>2-gleisig</v>
      </c>
      <c r="J62" s="42" t="str">
        <f t="shared" si="22"/>
        <v>2-gleisig</v>
      </c>
      <c r="K62" s="40"/>
      <c r="L62" s="76"/>
      <c r="M62" s="40"/>
      <c r="N62" s="41" t="str">
        <f>IF(gleisig=1,IF($AS$34&lt;$AS$33,I62-$AN$6,"u&gt;=75"),"2-gleisig")</f>
        <v>2-gleisig</v>
      </c>
      <c r="O62" s="41" t="str">
        <f>IF(gleisig=1,IF($AS$34&lt;$AS$33,J62-$J$62,"u&gt;=75"),"2-gleisig")</f>
        <v>2-gleisig</v>
      </c>
      <c r="P62" s="100"/>
      <c r="Q62" s="34"/>
      <c r="R62" s="34"/>
      <c r="S62" s="103"/>
      <c r="T62" s="84">
        <v>3.8</v>
      </c>
      <c r="U62" s="85" t="s">
        <v>2</v>
      </c>
      <c r="V62" s="34"/>
      <c r="W62" s="77"/>
      <c r="X62" s="40"/>
      <c r="Y62" s="40"/>
      <c r="Z62" s="40"/>
      <c r="AA62" s="40" t="s">
        <v>80</v>
      </c>
      <c r="AB62" s="40"/>
      <c r="AC62" s="40"/>
      <c r="AD62" s="40"/>
      <c r="AE62" s="40"/>
      <c r="AF62" s="40" t="str">
        <f>IF(AF60+AF50=AF40,"o.k.","Fehler")</f>
        <v>o.k.</v>
      </c>
      <c r="AG62" s="40"/>
      <c r="AH62" s="40"/>
      <c r="AI62" s="40"/>
      <c r="AJ62" s="40"/>
      <c r="AK62" s="40"/>
      <c r="AL62" s="78"/>
      <c r="AM62" s="34"/>
      <c r="AN62" s="34"/>
      <c r="AO62" s="34"/>
      <c r="AP62" s="34"/>
      <c r="AQ62" s="34"/>
      <c r="AR62" s="34"/>
      <c r="AS62" s="34"/>
      <c r="AT62" s="34"/>
      <c r="AU62" s="34"/>
      <c r="AV62" s="34"/>
      <c r="AW62" s="34"/>
      <c r="AX62" s="34"/>
      <c r="AY62" s="34"/>
      <c r="AZ62" s="34"/>
    </row>
    <row r="63" spans="1:52" ht="12.75">
      <c r="A63" s="34"/>
      <c r="B63" s="34"/>
      <c r="C63" s="34"/>
      <c r="D63" s="43" t="str">
        <f>D59</f>
        <v>Ga</v>
      </c>
      <c r="E63" s="44">
        <f aca="true" t="shared" si="23" ref="E63:J63">E59</f>
        <v>0</v>
      </c>
      <c r="F63" s="44">
        <f t="shared" si="23"/>
        <v>0</v>
      </c>
      <c r="G63" s="44">
        <f t="shared" si="23"/>
        <v>0</v>
      </c>
      <c r="H63" s="44">
        <f t="shared" si="23"/>
        <v>0</v>
      </c>
      <c r="I63" s="45" t="str">
        <f t="shared" si="23"/>
        <v>2-gleisig</v>
      </c>
      <c r="J63" s="46" t="str">
        <f t="shared" si="23"/>
        <v>2-gleisig</v>
      </c>
      <c r="K63" s="44"/>
      <c r="L63" s="44"/>
      <c r="M63" s="44"/>
      <c r="N63" s="45" t="str">
        <f>IF(gleisig=1,IF($AS$34&lt;$AS$33,I63-$AN$6,"u&gt;=75"),"2-gleisig")</f>
        <v>2-gleisig</v>
      </c>
      <c r="O63" s="45" t="str">
        <f>IF(gleisig=1,IF($AS$34&lt;$AS$33,J63-$J$62,"u&gt;=75"),"2-gleisig")</f>
        <v>2-gleisig</v>
      </c>
      <c r="P63" s="104"/>
      <c r="Q63" s="34"/>
      <c r="R63" s="34"/>
      <c r="S63" s="77"/>
      <c r="T63" s="87">
        <v>4</v>
      </c>
      <c r="U63" s="78" t="s">
        <v>2</v>
      </c>
      <c r="V63" s="34"/>
      <c r="W63" s="77"/>
      <c r="X63" s="40"/>
      <c r="Y63" s="40"/>
      <c r="Z63" s="40"/>
      <c r="AA63" s="40"/>
      <c r="AB63" s="40"/>
      <c r="AC63" s="40"/>
      <c r="AD63" s="40"/>
      <c r="AE63" s="40"/>
      <c r="AF63" s="40"/>
      <c r="AG63" s="40"/>
      <c r="AH63" s="40"/>
      <c r="AI63" s="40"/>
      <c r="AJ63" s="40"/>
      <c r="AK63" s="40"/>
      <c r="AL63" s="78"/>
      <c r="AM63" s="34"/>
      <c r="AN63" s="34"/>
      <c r="AO63" s="34"/>
      <c r="AP63" s="34"/>
      <c r="AQ63" s="34"/>
      <c r="AR63" s="34"/>
      <c r="AS63" s="34"/>
      <c r="AT63" s="34"/>
      <c r="AU63" s="34"/>
      <c r="AV63" s="34"/>
      <c r="AW63" s="34"/>
      <c r="AX63" s="34"/>
      <c r="AY63" s="34"/>
      <c r="AZ63" s="34"/>
    </row>
    <row r="64" spans="1:52" ht="12.75">
      <c r="A64" s="34"/>
      <c r="B64" s="34"/>
      <c r="C64" s="34"/>
      <c r="D64" s="34"/>
      <c r="E64" s="34"/>
      <c r="F64" s="34"/>
      <c r="G64" s="34"/>
      <c r="H64" s="34"/>
      <c r="I64" s="34"/>
      <c r="J64" s="34"/>
      <c r="K64" s="34"/>
      <c r="L64" s="34"/>
      <c r="M64" s="34"/>
      <c r="N64" s="34"/>
      <c r="O64" s="34"/>
      <c r="P64" s="34"/>
      <c r="Q64" s="34"/>
      <c r="R64" s="34"/>
      <c r="S64" s="77"/>
      <c r="T64" s="87">
        <v>4.5</v>
      </c>
      <c r="U64" s="78" t="s">
        <v>2</v>
      </c>
      <c r="V64" s="34"/>
      <c r="W64" s="77"/>
      <c r="X64" s="40"/>
      <c r="Y64" s="40"/>
      <c r="Z64" s="40"/>
      <c r="AA64" s="40"/>
      <c r="AB64" s="40"/>
      <c r="AC64" s="40"/>
      <c r="AD64" s="40"/>
      <c r="AE64" s="40"/>
      <c r="AF64" s="40"/>
      <c r="AG64" s="40"/>
      <c r="AH64" s="40"/>
      <c r="AI64" s="40"/>
      <c r="AJ64" s="40"/>
      <c r="AK64" s="40"/>
      <c r="AL64" s="78"/>
      <c r="AM64" s="34"/>
      <c r="AN64" s="34"/>
      <c r="AO64" s="34"/>
      <c r="AP64" s="34"/>
      <c r="AQ64" s="34"/>
      <c r="AR64" s="34"/>
      <c r="AS64" s="34"/>
      <c r="AT64" s="34"/>
      <c r="AU64" s="34"/>
      <c r="AV64" s="34"/>
      <c r="AW64" s="34"/>
      <c r="AX64" s="34"/>
      <c r="AY64" s="34"/>
      <c r="AZ64" s="34"/>
    </row>
    <row r="65" spans="1:52" ht="13.5" thickBot="1">
      <c r="A65" s="34"/>
      <c r="B65" s="34"/>
      <c r="C65" s="34"/>
      <c r="D65" s="34"/>
      <c r="E65" s="34"/>
      <c r="F65" s="34"/>
      <c r="G65" s="34"/>
      <c r="H65" s="34"/>
      <c r="I65" s="34"/>
      <c r="J65" s="34"/>
      <c r="K65" s="34"/>
      <c r="L65" s="34"/>
      <c r="M65" s="34"/>
      <c r="N65" s="34"/>
      <c r="O65" s="34"/>
      <c r="P65" s="34"/>
      <c r="Q65" s="34"/>
      <c r="R65" s="34"/>
      <c r="S65" s="77"/>
      <c r="T65" s="87">
        <v>4.7</v>
      </c>
      <c r="U65" s="78" t="s">
        <v>2</v>
      </c>
      <c r="V65" s="34"/>
      <c r="W65" s="105"/>
      <c r="X65" s="106"/>
      <c r="Y65" s="106"/>
      <c r="Z65" s="106"/>
      <c r="AA65" s="106"/>
      <c r="AB65" s="106"/>
      <c r="AC65" s="106"/>
      <c r="AD65" s="106"/>
      <c r="AE65" s="106"/>
      <c r="AF65" s="106"/>
      <c r="AG65" s="106"/>
      <c r="AH65" s="106"/>
      <c r="AI65" s="106"/>
      <c r="AJ65" s="106"/>
      <c r="AK65" s="106"/>
      <c r="AL65" s="95"/>
      <c r="AM65" s="34"/>
      <c r="AN65" s="34"/>
      <c r="AO65" s="34"/>
      <c r="AP65" s="34"/>
      <c r="AQ65" s="34"/>
      <c r="AR65" s="34"/>
      <c r="AS65" s="34"/>
      <c r="AT65" s="34"/>
      <c r="AU65" s="34"/>
      <c r="AV65" s="34"/>
      <c r="AW65" s="34"/>
      <c r="AX65" s="34"/>
      <c r="AY65" s="34"/>
      <c r="AZ65" s="34"/>
    </row>
    <row r="66" spans="1:52" ht="12.75">
      <c r="A66" s="34"/>
      <c r="B66" s="34"/>
      <c r="C66" s="34"/>
      <c r="D66" s="34"/>
      <c r="E66" s="34"/>
      <c r="F66" s="34"/>
      <c r="G66" s="34"/>
      <c r="H66" s="34"/>
      <c r="I66" s="34"/>
      <c r="J66" s="34"/>
      <c r="K66" s="34"/>
      <c r="L66" s="34"/>
      <c r="M66" s="34"/>
      <c r="N66" s="34"/>
      <c r="O66" s="34"/>
      <c r="P66" s="34"/>
      <c r="Q66" s="34"/>
      <c r="R66" s="34"/>
      <c r="S66" s="77"/>
      <c r="T66" s="87"/>
      <c r="U66" s="78" t="s">
        <v>2</v>
      </c>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1:52" ht="13.5" thickBot="1">
      <c r="A67" s="34"/>
      <c r="B67" s="34"/>
      <c r="C67" s="34"/>
      <c r="D67" s="34"/>
      <c r="E67" s="34"/>
      <c r="F67" s="34"/>
      <c r="G67" s="34"/>
      <c r="H67" s="34"/>
      <c r="I67" s="34"/>
      <c r="J67" s="34"/>
      <c r="K67" s="34"/>
      <c r="L67" s="34"/>
      <c r="M67" s="34"/>
      <c r="N67" s="34"/>
      <c r="O67" s="34"/>
      <c r="P67" s="34"/>
      <c r="Q67" s="34"/>
      <c r="R67" s="34"/>
      <c r="S67" s="105"/>
      <c r="T67" s="94"/>
      <c r="U67" s="95" t="s">
        <v>2</v>
      </c>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2:16" ht="12.75">
      <c r="B68" s="34"/>
      <c r="C68" s="34"/>
      <c r="D68" s="34"/>
      <c r="E68" s="34"/>
      <c r="F68" s="34"/>
      <c r="G68" s="34"/>
      <c r="H68" s="34"/>
      <c r="I68" s="34"/>
      <c r="J68" s="34"/>
      <c r="K68" s="34"/>
      <c r="L68" s="34"/>
      <c r="M68" s="34"/>
      <c r="N68" s="34"/>
      <c r="O68" s="34"/>
      <c r="P68" s="29"/>
    </row>
    <row r="70" spans="17:23" ht="13.5" thickBot="1">
      <c r="Q70" t="s">
        <v>84</v>
      </c>
      <c r="S70" s="18">
        <f>VLOOKUP(C11,S71:W84,5,FALSE)</f>
        <v>0.19</v>
      </c>
      <c r="T70" s="4" t="s">
        <v>85</v>
      </c>
      <c r="U70" s="4"/>
      <c r="V70" t="s">
        <v>90</v>
      </c>
      <c r="W70" s="4" t="s">
        <v>86</v>
      </c>
    </row>
    <row r="71" spans="17:23" ht="12.75">
      <c r="Q71" s="10" t="s">
        <v>119</v>
      </c>
      <c r="R71" s="25">
        <v>0.26</v>
      </c>
      <c r="S71" s="7" t="s">
        <v>93</v>
      </c>
      <c r="T71" s="12">
        <v>2.6</v>
      </c>
      <c r="U71" s="2" t="s">
        <v>2</v>
      </c>
      <c r="V71" s="27">
        <f>T71*T10*R71*1000</f>
        <v>108.16000000000003</v>
      </c>
      <c r="W71" s="1">
        <f>(V71/1000)/a</f>
        <v>0.18026666666666671</v>
      </c>
    </row>
    <row r="72" spans="17:23" ht="12.75">
      <c r="Q72" s="10" t="s">
        <v>119</v>
      </c>
      <c r="R72" s="25">
        <v>0.26</v>
      </c>
      <c r="S72" s="8" t="s">
        <v>94</v>
      </c>
      <c r="T72" s="13">
        <v>2.6</v>
      </c>
      <c r="U72" s="5" t="s">
        <v>2</v>
      </c>
      <c r="V72" s="27">
        <f>T72*T11*R72*1000</f>
        <v>101.4</v>
      </c>
      <c r="W72" s="1">
        <f>(V72/1000)/a</f>
        <v>0.169</v>
      </c>
    </row>
    <row r="73" spans="17:23" ht="12.75">
      <c r="Q73" s="10" t="s">
        <v>119</v>
      </c>
      <c r="R73" s="25">
        <v>0.24</v>
      </c>
      <c r="S73" s="8" t="s">
        <v>95</v>
      </c>
      <c r="T73" s="13">
        <v>2.5</v>
      </c>
      <c r="U73" s="5" t="s">
        <v>2</v>
      </c>
      <c r="V73" s="27">
        <f>T73*T12*R73*1000</f>
        <v>90</v>
      </c>
      <c r="W73" s="1">
        <f>(V73/1000)/a</f>
        <v>0.15</v>
      </c>
    </row>
    <row r="74" spans="17:23" ht="12.75">
      <c r="Q74" s="10" t="s">
        <v>119</v>
      </c>
      <c r="R74" s="25">
        <v>0.24</v>
      </c>
      <c r="S74" s="8" t="s">
        <v>96</v>
      </c>
      <c r="T74" s="13">
        <v>2.5</v>
      </c>
      <c r="U74" s="5" t="s">
        <v>2</v>
      </c>
      <c r="V74" s="27">
        <f>T74*T13*R74*1000</f>
        <v>84</v>
      </c>
      <c r="W74" s="1">
        <f>(V74/1000)/a</f>
        <v>0.14</v>
      </c>
    </row>
    <row r="75" spans="17:23" ht="12.75">
      <c r="Q75" s="10"/>
      <c r="R75" s="25"/>
      <c r="S75" s="8" t="s">
        <v>120</v>
      </c>
      <c r="T75" s="13">
        <v>2.6</v>
      </c>
      <c r="U75" s="5" t="s">
        <v>2</v>
      </c>
      <c r="V75" s="27">
        <f>(0.26*0.009+(2*(0.065*0.009)))*T75*1000</f>
        <v>9.126000000000001</v>
      </c>
      <c r="W75" s="1">
        <f>(V75/1000)/a</f>
        <v>0.015210000000000001</v>
      </c>
    </row>
    <row r="76" spans="17:23" ht="12.75">
      <c r="Q76" s="10"/>
      <c r="R76" s="25"/>
      <c r="S76" s="8"/>
      <c r="T76" s="13"/>
      <c r="U76" s="5"/>
      <c r="V76" s="1"/>
      <c r="W76" s="1"/>
    </row>
    <row r="77" spans="17:23" ht="12.75">
      <c r="Q77" s="10"/>
      <c r="R77" s="25"/>
      <c r="S77" s="8" t="s">
        <v>29</v>
      </c>
      <c r="T77" s="13">
        <v>2.4</v>
      </c>
      <c r="U77" s="5" t="s">
        <v>2</v>
      </c>
      <c r="V77">
        <v>96</v>
      </c>
      <c r="W77" s="1">
        <f aca="true" t="shared" si="24" ref="W77:W82">(V77/1000)/a</f>
        <v>0.16</v>
      </c>
    </row>
    <row r="78" spans="17:23" ht="12.75">
      <c r="Q78" s="10"/>
      <c r="R78" s="25"/>
      <c r="S78" s="8" t="s">
        <v>92</v>
      </c>
      <c r="T78" s="13">
        <v>2.4</v>
      </c>
      <c r="U78" s="5" t="s">
        <v>2</v>
      </c>
      <c r="V78">
        <v>104</v>
      </c>
      <c r="W78" s="1">
        <f t="shared" si="24"/>
        <v>0.17333333333333334</v>
      </c>
    </row>
    <row r="79" spans="17:23" ht="12.75">
      <c r="Q79" s="10"/>
      <c r="R79" s="25"/>
      <c r="S79" s="8" t="s">
        <v>91</v>
      </c>
      <c r="T79" s="13">
        <v>2.6</v>
      </c>
      <c r="U79" s="5" t="s">
        <v>2</v>
      </c>
      <c r="V79">
        <v>114</v>
      </c>
      <c r="W79" s="1">
        <f t="shared" si="24"/>
        <v>0.19</v>
      </c>
    </row>
    <row r="80" spans="17:23" ht="12.75">
      <c r="Q80" s="10"/>
      <c r="R80" s="25"/>
      <c r="S80" s="8" t="s">
        <v>11</v>
      </c>
      <c r="T80" s="13">
        <v>2.8</v>
      </c>
      <c r="U80" s="5" t="s">
        <v>2</v>
      </c>
      <c r="V80">
        <v>155</v>
      </c>
      <c r="W80" s="1">
        <f t="shared" si="24"/>
        <v>0.25833333333333336</v>
      </c>
    </row>
    <row r="81" spans="17:23" ht="12.75">
      <c r="Q81" s="10"/>
      <c r="R81" s="25"/>
      <c r="S81" s="8" t="s">
        <v>10</v>
      </c>
      <c r="T81" s="13">
        <v>2.6</v>
      </c>
      <c r="U81" s="5" t="s">
        <v>2</v>
      </c>
      <c r="V81">
        <v>135</v>
      </c>
      <c r="W81" s="1">
        <f t="shared" si="24"/>
        <v>0.22500000000000003</v>
      </c>
    </row>
    <row r="82" spans="19:23" ht="12.75">
      <c r="S82" s="8" t="s">
        <v>89</v>
      </c>
      <c r="T82" s="13">
        <v>2.6</v>
      </c>
      <c r="U82" s="5" t="s">
        <v>2</v>
      </c>
      <c r="V82">
        <v>142</v>
      </c>
      <c r="W82" s="1">
        <f t="shared" si="24"/>
        <v>0.23666666666666666</v>
      </c>
    </row>
    <row r="83" spans="17:23" ht="12.75">
      <c r="Q83" t="s">
        <v>121</v>
      </c>
      <c r="R83">
        <v>142</v>
      </c>
      <c r="S83" s="8" t="s">
        <v>123</v>
      </c>
      <c r="T83" s="13">
        <v>2.3</v>
      </c>
      <c r="U83" s="5" t="s">
        <v>2</v>
      </c>
      <c r="V83" s="1">
        <f>(R83*78.5/9.81)/100000</f>
        <v>0.01136289500509684</v>
      </c>
      <c r="W83" s="28">
        <f>V83*0.803</f>
        <v>0.009124404689092763</v>
      </c>
    </row>
    <row r="84" spans="17:23" ht="13.5" thickBot="1">
      <c r="Q84" t="s">
        <v>121</v>
      </c>
      <c r="R84">
        <v>142</v>
      </c>
      <c r="S84" s="9" t="s">
        <v>122</v>
      </c>
      <c r="T84" s="14">
        <v>2.3</v>
      </c>
      <c r="U84" s="6" t="s">
        <v>2</v>
      </c>
      <c r="V84" s="1">
        <f>(R84*78.5/9.81)/100000</f>
        <v>0.01136289500509684</v>
      </c>
      <c r="W84" s="28">
        <f>V84*0.758</f>
        <v>0.008613074413863404</v>
      </c>
    </row>
  </sheetData>
  <sheetProtection password="8B5E" sheet="1" objects="1" scenarios="1"/>
  <dataValidations count="9">
    <dataValidation type="list" showInputMessage="1" showErrorMessage="1" sqref="C11">
      <formula1>$S$10:$S$23</formula1>
    </dataValidation>
    <dataValidation type="list" allowBlank="1" showInputMessage="1" showErrorMessage="1" sqref="C19">
      <formula1>$T$44:$T$49</formula1>
    </dataValidation>
    <dataValidation type="list" allowBlank="1" showInputMessage="1" showErrorMessage="1" sqref="C27">
      <formula1>$E$27:$E$28</formula1>
    </dataValidation>
    <dataValidation type="list" allowBlank="1" showInputMessage="1" showErrorMessage="1" sqref="C23">
      <formula1>$T$53:$T$58</formula1>
    </dataValidation>
    <dataValidation type="whole" allowBlank="1" showInputMessage="1" showErrorMessage="1" sqref="C9">
      <formula1>0</formula1>
      <formula2>330</formula2>
    </dataValidation>
    <dataValidation type="list" allowBlank="1" showInputMessage="1" showErrorMessage="1" sqref="N11">
      <formula1>$P$11:$P$12</formula1>
    </dataValidation>
    <dataValidation type="whole" allowBlank="1" showInputMessage="1" showErrorMessage="1" sqref="C35">
      <formula1>0</formula1>
      <formula2>160</formula2>
    </dataValidation>
    <dataValidation type="decimal" allowBlank="1" showInputMessage="1" showErrorMessage="1" sqref="C31">
      <formula1>3.8</formula1>
      <formula2>6</formula2>
    </dataValidation>
    <dataValidation type="whole" allowBlank="1" showInputMessage="1" showErrorMessage="1" sqref="N15">
      <formula1>20</formula1>
      <formula2>40</formula2>
    </dataValidation>
  </dataValidations>
  <printOptions/>
  <pageMargins left="0.7874015748031497" right="0.9055118110236221" top="0.7480314960629921" bottom="0.8267716535433072" header="0.5118110236220472" footer="0.3937007874015748"/>
  <pageSetup horizontalDpi="600" verticalDpi="600" orientation="portrait" paperSize="9" scale="85" r:id="rId2"/>
  <headerFooter alignWithMargins="0">
    <oddFooter>&amp;LDeutsche Bahn AG
Technik/Beschaffung
Oberbautechnik - T.TZF 61 Mißler
Kleyerstraße 90
60326 Frankfurt am Main &amp;RStand 28.04.2005</oddFooter>
  </headerFooter>
  <drawing r:id="rId1"/>
</worksheet>
</file>

<file path=xl/worksheets/sheet3.xml><?xml version="1.0" encoding="utf-8"?>
<worksheet xmlns="http://schemas.openxmlformats.org/spreadsheetml/2006/main" xmlns:r="http://schemas.openxmlformats.org/officeDocument/2006/relationships">
  <sheetPr codeName="Tabelle2"/>
  <dimension ref="A1:BB85"/>
  <sheetViews>
    <sheetView showGridLines="0" workbookViewId="0" topLeftCell="A61">
      <selection activeCell="C31" sqref="C31"/>
    </sheetView>
  </sheetViews>
  <sheetFormatPr defaultColWidth="11.421875" defaultRowHeight="12.75"/>
  <cols>
    <col min="2" max="2" width="5.8515625" style="0" customWidth="1"/>
    <col min="3" max="3" width="11.8515625" style="0" customWidth="1"/>
    <col min="4" max="4" width="7.00390625" style="0" customWidth="1"/>
    <col min="5" max="5" width="0.13671875" style="0" customWidth="1"/>
    <col min="6" max="6" width="0.2890625" style="0" hidden="1" customWidth="1"/>
    <col min="7" max="7" width="1.28515625" style="0" hidden="1" customWidth="1"/>
    <col min="8" max="8" width="1.1484375" style="0" hidden="1" customWidth="1"/>
    <col min="11" max="11" width="5.28125" style="0" customWidth="1"/>
    <col min="12" max="12" width="2.7109375" style="0" customWidth="1"/>
    <col min="13" max="13" width="2.00390625" style="0" customWidth="1"/>
    <col min="14" max="14" width="9.28125" style="0" customWidth="1"/>
    <col min="15" max="15" width="11.140625" style="0" customWidth="1"/>
    <col min="16" max="16" width="0.42578125" style="0" customWidth="1"/>
    <col min="17" max="17" width="0.13671875" style="0" hidden="1" customWidth="1"/>
    <col min="18" max="18" width="4.00390625" style="0" hidden="1" customWidth="1"/>
    <col min="19" max="19" width="3.421875" style="0" hidden="1" customWidth="1"/>
    <col min="20" max="20" width="2.7109375" style="0" hidden="1" customWidth="1"/>
    <col min="21" max="22" width="2.00390625" style="0" hidden="1" customWidth="1"/>
    <col min="23" max="23" width="1.7109375" style="0" hidden="1" customWidth="1"/>
    <col min="24" max="24" width="2.28125" style="0" hidden="1" customWidth="1"/>
    <col min="25" max="25" width="2.421875" style="0" hidden="1" customWidth="1"/>
    <col min="26" max="26" width="3.00390625" style="0" hidden="1" customWidth="1"/>
    <col min="27" max="27" width="2.28125" style="0" hidden="1" customWidth="1"/>
    <col min="28" max="28" width="1.7109375" style="0" hidden="1" customWidth="1"/>
    <col min="29" max="29" width="1.8515625" style="0" hidden="1" customWidth="1"/>
    <col min="30" max="30" width="2.140625" style="0" hidden="1" customWidth="1"/>
    <col min="31" max="31" width="1.421875" style="0" hidden="1" customWidth="1"/>
    <col min="32" max="32" width="2.421875" style="0" hidden="1" customWidth="1"/>
    <col min="33" max="33" width="1.421875" style="0" hidden="1" customWidth="1"/>
    <col min="34" max="34" width="1.8515625" style="0" hidden="1" customWidth="1"/>
    <col min="35" max="35" width="2.57421875" style="0" hidden="1" customWidth="1"/>
    <col min="36" max="36" width="2.7109375" style="0" hidden="1" customWidth="1"/>
    <col min="37" max="37" width="3.28125" style="0" hidden="1" customWidth="1"/>
    <col min="38" max="38" width="2.8515625" style="0" hidden="1" customWidth="1"/>
    <col min="39" max="39" width="3.140625" style="0" hidden="1" customWidth="1"/>
    <col min="40" max="40" width="3.57421875" style="0" hidden="1" customWidth="1"/>
    <col min="41" max="41" width="3.00390625" style="0" hidden="1" customWidth="1"/>
    <col min="42" max="42" width="3.28125" style="0" hidden="1" customWidth="1"/>
    <col min="43" max="43" width="3.421875" style="0" hidden="1" customWidth="1"/>
    <col min="44" max="44" width="2.140625" style="0" hidden="1" customWidth="1"/>
    <col min="45" max="45" width="1.57421875" style="0" hidden="1" customWidth="1"/>
    <col min="46" max="46" width="1.28515625" style="0" hidden="1" customWidth="1"/>
    <col min="47" max="47" width="1.57421875" style="0" hidden="1" customWidth="1"/>
    <col min="48" max="48" width="3.8515625" style="0" hidden="1" customWidth="1"/>
    <col min="49" max="49" width="3.00390625" style="0" hidden="1" customWidth="1"/>
    <col min="50" max="50" width="2.8515625" style="0" hidden="1" customWidth="1"/>
    <col min="51" max="51" width="0.5625" style="0" hidden="1" customWidth="1"/>
    <col min="52" max="52" width="0.71875" style="0" hidden="1" customWidth="1"/>
  </cols>
  <sheetData>
    <row r="1" spans="1:15" ht="12.75">
      <c r="A1" s="34"/>
      <c r="B1" s="34"/>
      <c r="C1" s="34"/>
      <c r="D1" s="34"/>
      <c r="E1" s="34"/>
      <c r="F1" s="34"/>
      <c r="G1" s="34"/>
      <c r="H1" s="34"/>
      <c r="I1" s="34"/>
      <c r="J1" s="34"/>
      <c r="K1" s="34"/>
      <c r="L1" s="34"/>
      <c r="M1" s="34"/>
      <c r="N1" s="34"/>
      <c r="O1" s="34"/>
    </row>
    <row r="2" spans="1:15" ht="12.75">
      <c r="A2" s="34"/>
      <c r="B2" s="34"/>
      <c r="C2" s="34"/>
      <c r="D2" s="34"/>
      <c r="E2" s="34"/>
      <c r="F2" s="34"/>
      <c r="G2" s="34"/>
      <c r="H2" s="34"/>
      <c r="I2" s="34"/>
      <c r="J2" s="34"/>
      <c r="K2" s="34"/>
      <c r="L2" s="34"/>
      <c r="M2" s="34"/>
      <c r="N2" s="34"/>
      <c r="O2" s="34"/>
    </row>
    <row r="3" spans="1:15" ht="12.75">
      <c r="A3" s="34"/>
      <c r="B3" s="34"/>
      <c r="C3" s="34"/>
      <c r="D3" s="34"/>
      <c r="E3" s="34"/>
      <c r="F3" s="34"/>
      <c r="G3" s="34"/>
      <c r="H3" s="34"/>
      <c r="I3" s="34"/>
      <c r="J3" s="34"/>
      <c r="K3" s="34"/>
      <c r="L3" s="34"/>
      <c r="M3" s="34"/>
      <c r="N3" s="34"/>
      <c r="O3" s="34"/>
    </row>
    <row r="4" spans="1:15" ht="15.75">
      <c r="A4" s="59" t="s">
        <v>138</v>
      </c>
      <c r="B4" s="34"/>
      <c r="C4" s="34"/>
      <c r="D4" s="34"/>
      <c r="E4" s="34"/>
      <c r="F4" s="34"/>
      <c r="G4" s="34"/>
      <c r="H4" s="34"/>
      <c r="I4" s="34"/>
      <c r="J4" s="34"/>
      <c r="K4" s="34"/>
      <c r="L4" s="34"/>
      <c r="M4" s="34"/>
      <c r="N4" s="34"/>
      <c r="O4" s="34"/>
    </row>
    <row r="5" spans="1:39" ht="18" customHeight="1">
      <c r="A5" s="34"/>
      <c r="B5" s="34"/>
      <c r="C5" s="34"/>
      <c r="D5" s="34"/>
      <c r="E5" s="34"/>
      <c r="F5" s="34"/>
      <c r="G5" s="34"/>
      <c r="H5" s="34"/>
      <c r="I5" s="34"/>
      <c r="J5" s="34"/>
      <c r="K5" s="34"/>
      <c r="L5" s="34"/>
      <c r="M5" s="34"/>
      <c r="N5" s="34"/>
      <c r="O5" s="34"/>
      <c r="P5" s="29"/>
      <c r="W5" s="3"/>
      <c r="X5" s="4"/>
      <c r="Y5" s="4"/>
      <c r="Z5" s="4"/>
      <c r="AA5" s="4"/>
      <c r="AB5" s="4"/>
      <c r="AC5" s="4"/>
      <c r="AD5" s="4"/>
      <c r="AE5" s="4"/>
      <c r="AF5" s="4"/>
      <c r="AG5" s="4"/>
      <c r="AH5" s="4"/>
      <c r="AI5" s="4"/>
      <c r="AJ5" s="4"/>
      <c r="AK5" s="4"/>
      <c r="AL5" s="5"/>
      <c r="AM5" t="s">
        <v>139</v>
      </c>
    </row>
    <row r="6" spans="1:41" ht="19.5" customHeight="1">
      <c r="A6" s="68" t="s">
        <v>132</v>
      </c>
      <c r="B6" s="69" t="s">
        <v>133</v>
      </c>
      <c r="C6" s="34"/>
      <c r="D6" s="34"/>
      <c r="E6" s="34"/>
      <c r="F6" s="34"/>
      <c r="G6" s="34"/>
      <c r="H6" s="34"/>
      <c r="I6" s="34"/>
      <c r="J6" s="34"/>
      <c r="K6" s="34"/>
      <c r="L6" s="34"/>
      <c r="M6" s="34"/>
      <c r="N6" s="34"/>
      <c r="O6" s="34"/>
      <c r="P6" s="29"/>
      <c r="W6" s="3"/>
      <c r="X6" s="4"/>
      <c r="Y6" s="4"/>
      <c r="Z6" s="4"/>
      <c r="AA6" s="4"/>
      <c r="AB6" s="4"/>
      <c r="AC6" s="4"/>
      <c r="AD6" s="4"/>
      <c r="AE6" s="4"/>
      <c r="AF6" s="4"/>
      <c r="AG6" s="4"/>
      <c r="AH6" s="4"/>
      <c r="AI6" s="4"/>
      <c r="AJ6" s="4"/>
      <c r="AK6" s="4"/>
      <c r="AL6" s="5"/>
      <c r="AM6" t="s">
        <v>140</v>
      </c>
      <c r="AN6" s="1">
        <f>((COS(ASIN(u/1500)))*(1500/2))/1000</f>
        <v>0.75</v>
      </c>
      <c r="AO6" t="s">
        <v>2</v>
      </c>
    </row>
    <row r="7" spans="1:38" ht="12.75">
      <c r="A7" s="34"/>
      <c r="B7" s="60" t="s">
        <v>134</v>
      </c>
      <c r="C7" s="34"/>
      <c r="D7" s="34"/>
      <c r="E7" s="34"/>
      <c r="F7" s="34"/>
      <c r="G7" s="34"/>
      <c r="H7" s="34"/>
      <c r="I7" s="34"/>
      <c r="J7" s="34"/>
      <c r="K7" s="34"/>
      <c r="L7" s="34"/>
      <c r="M7" s="34"/>
      <c r="N7" s="34"/>
      <c r="O7" s="34"/>
      <c r="P7" s="29"/>
      <c r="W7" s="3"/>
      <c r="X7" s="4"/>
      <c r="Y7" s="4"/>
      <c r="Z7" s="4"/>
      <c r="AA7" s="4"/>
      <c r="AB7" s="4"/>
      <c r="AC7" s="4"/>
      <c r="AD7" s="4"/>
      <c r="AE7" s="4"/>
      <c r="AF7" s="4"/>
      <c r="AG7" s="4"/>
      <c r="AH7" s="4"/>
      <c r="AI7" s="4"/>
      <c r="AJ7" s="4"/>
      <c r="AK7" s="4"/>
      <c r="AL7" s="5"/>
    </row>
    <row r="8" spans="1:38" ht="12.75">
      <c r="A8" s="34"/>
      <c r="B8" s="34"/>
      <c r="C8" s="34"/>
      <c r="D8" s="34"/>
      <c r="E8" s="34"/>
      <c r="F8" s="34"/>
      <c r="G8" s="34"/>
      <c r="H8" s="34"/>
      <c r="I8" s="34"/>
      <c r="J8" s="34"/>
      <c r="K8" s="34"/>
      <c r="L8" s="34"/>
      <c r="M8" s="34"/>
      <c r="N8" s="34"/>
      <c r="O8" s="34"/>
      <c r="P8" s="29"/>
      <c r="T8" s="15"/>
      <c r="W8" s="3"/>
      <c r="X8" s="4"/>
      <c r="Y8" s="4"/>
      <c r="Z8" s="4"/>
      <c r="AA8" s="4"/>
      <c r="AB8" s="4"/>
      <c r="AC8" s="4"/>
      <c r="AD8" s="4"/>
      <c r="AE8" s="4"/>
      <c r="AF8" s="4"/>
      <c r="AG8" s="4"/>
      <c r="AH8" s="4"/>
      <c r="AI8" s="4"/>
      <c r="AJ8" s="4"/>
      <c r="AK8" s="4"/>
      <c r="AL8" s="5"/>
    </row>
    <row r="9" spans="1:45" ht="13.5" thickBot="1">
      <c r="A9" s="34" t="s">
        <v>0</v>
      </c>
      <c r="B9" s="34"/>
      <c r="C9" s="30">
        <v>100</v>
      </c>
      <c r="D9" s="34" t="s">
        <v>1</v>
      </c>
      <c r="E9" s="34" t="s">
        <v>16</v>
      </c>
      <c r="F9" s="34"/>
      <c r="G9" s="34"/>
      <c r="H9" s="34"/>
      <c r="I9" s="34" t="s">
        <v>13</v>
      </c>
      <c r="J9" s="34"/>
      <c r="K9" s="34"/>
      <c r="L9" s="34"/>
      <c r="M9" s="34"/>
      <c r="N9" s="60">
        <f>IF(C9&lt;=160,0.4,0.5)</f>
        <v>0.4</v>
      </c>
      <c r="O9" s="34" t="s">
        <v>2</v>
      </c>
      <c r="P9" s="29"/>
      <c r="Q9" t="s">
        <v>24</v>
      </c>
      <c r="T9" s="11">
        <f>VLOOKUP(C11,S10:T23,2,FALSE)</f>
        <v>0.214</v>
      </c>
      <c r="U9" t="s">
        <v>2</v>
      </c>
      <c r="W9" s="24" t="s">
        <v>87</v>
      </c>
      <c r="X9" s="23"/>
      <c r="Y9" s="23"/>
      <c r="Z9" s="23"/>
      <c r="AA9" s="23"/>
      <c r="AB9" s="23"/>
      <c r="AC9" s="4"/>
      <c r="AD9" s="4"/>
      <c r="AE9" s="4"/>
      <c r="AF9" s="4"/>
      <c r="AG9" s="4"/>
      <c r="AH9" s="4"/>
      <c r="AI9" s="4"/>
      <c r="AJ9" s="4"/>
      <c r="AK9" s="4"/>
      <c r="AL9" s="5"/>
      <c r="AM9" s="24" t="s">
        <v>88</v>
      </c>
      <c r="AN9" s="11"/>
      <c r="AO9" s="11"/>
      <c r="AP9" s="11"/>
      <c r="AQ9" s="11"/>
      <c r="AR9" s="11"/>
      <c r="AS9" s="11"/>
    </row>
    <row r="10" spans="1:54" ht="12.75">
      <c r="A10" s="34"/>
      <c r="B10" s="34"/>
      <c r="C10" s="34"/>
      <c r="D10" s="34"/>
      <c r="E10" s="34"/>
      <c r="F10" s="34"/>
      <c r="G10" s="34"/>
      <c r="H10" s="34"/>
      <c r="I10" s="34"/>
      <c r="J10" s="34"/>
      <c r="K10" s="34"/>
      <c r="L10" s="34"/>
      <c r="M10" s="34"/>
      <c r="N10" s="34"/>
      <c r="O10" s="34"/>
      <c r="P10" s="29"/>
      <c r="S10" s="7" t="s">
        <v>93</v>
      </c>
      <c r="T10" s="12">
        <v>0.16</v>
      </c>
      <c r="U10" s="2" t="s">
        <v>2</v>
      </c>
      <c r="W10" s="3"/>
      <c r="X10" s="4"/>
      <c r="Y10" s="4"/>
      <c r="Z10" s="4"/>
      <c r="AA10" s="4"/>
      <c r="AB10" s="4"/>
      <c r="AC10" s="4"/>
      <c r="AD10" s="4"/>
      <c r="AE10" s="4"/>
      <c r="AF10" s="4"/>
      <c r="AG10" s="4"/>
      <c r="AH10" s="4"/>
      <c r="AI10" s="4"/>
      <c r="AJ10" s="4"/>
      <c r="AK10" s="4"/>
      <c r="AL10" s="5"/>
      <c r="AU10" s="1"/>
      <c r="AV10" s="1"/>
      <c r="AW10" s="1"/>
      <c r="AX10" s="1"/>
      <c r="AY10" s="1"/>
      <c r="AZ10" s="1"/>
      <c r="BA10" s="1"/>
      <c r="BB10" s="1"/>
    </row>
    <row r="11" spans="1:54" ht="12.75">
      <c r="A11" s="34" t="s">
        <v>8</v>
      </c>
      <c r="B11" s="34"/>
      <c r="C11" s="31" t="s">
        <v>91</v>
      </c>
      <c r="D11" s="34"/>
      <c r="E11" s="61"/>
      <c r="F11" s="34"/>
      <c r="G11" s="34"/>
      <c r="H11" s="34"/>
      <c r="I11" s="34" t="s">
        <v>14</v>
      </c>
      <c r="J11" s="34"/>
      <c r="K11" s="34"/>
      <c r="L11" s="62">
        <v>1</v>
      </c>
      <c r="M11" s="63" t="s">
        <v>15</v>
      </c>
      <c r="N11" s="32">
        <v>1.5</v>
      </c>
      <c r="O11" s="64"/>
      <c r="P11" s="33">
        <v>1.25</v>
      </c>
      <c r="S11" s="8" t="s">
        <v>94</v>
      </c>
      <c r="T11" s="13">
        <v>0.15</v>
      </c>
      <c r="U11" s="5" t="s">
        <v>2</v>
      </c>
      <c r="W11" s="3"/>
      <c r="X11" s="19"/>
      <c r="Y11" s="4"/>
      <c r="Z11" s="4"/>
      <c r="AA11" s="4"/>
      <c r="AB11" s="4"/>
      <c r="AC11" s="4"/>
      <c r="AD11" s="4"/>
      <c r="AE11" s="4"/>
      <c r="AF11" s="4"/>
      <c r="AG11" s="4"/>
      <c r="AH11" s="4"/>
      <c r="AI11" s="4"/>
      <c r="AJ11" s="4"/>
      <c r="AK11" s="4"/>
      <c r="AL11" s="5"/>
      <c r="AU11" s="1"/>
      <c r="AV11" s="1"/>
      <c r="AW11" s="1"/>
      <c r="AX11" s="1"/>
      <c r="AY11" s="1"/>
      <c r="AZ11" s="1"/>
      <c r="BA11" s="1"/>
      <c r="BB11" s="1"/>
    </row>
    <row r="12" spans="1:38" ht="12.75">
      <c r="A12" s="34"/>
      <c r="B12" s="34"/>
      <c r="C12" s="34"/>
      <c r="D12" s="34"/>
      <c r="E12" s="61"/>
      <c r="F12" s="34"/>
      <c r="G12" s="34"/>
      <c r="H12" s="34"/>
      <c r="I12" s="34"/>
      <c r="J12" s="34"/>
      <c r="K12" s="34"/>
      <c r="L12" s="34"/>
      <c r="M12" s="34"/>
      <c r="N12" s="34"/>
      <c r="O12" s="64"/>
      <c r="P12" s="33">
        <v>1.5</v>
      </c>
      <c r="S12" s="8" t="s">
        <v>95</v>
      </c>
      <c r="T12" s="13">
        <v>0.15</v>
      </c>
      <c r="U12" s="5" t="s">
        <v>2</v>
      </c>
      <c r="W12" s="3"/>
      <c r="X12" s="4"/>
      <c r="Y12" s="4"/>
      <c r="Z12" s="4"/>
      <c r="AA12" s="4"/>
      <c r="AB12" s="4"/>
      <c r="AC12" s="4"/>
      <c r="AD12" s="4"/>
      <c r="AE12" s="4"/>
      <c r="AF12" s="4"/>
      <c r="AG12" s="4"/>
      <c r="AH12" s="4"/>
      <c r="AI12" s="4"/>
      <c r="AJ12" s="4"/>
      <c r="AK12" s="4"/>
      <c r="AL12" s="5"/>
    </row>
    <row r="13" spans="1:38" ht="12.75">
      <c r="A13" s="34"/>
      <c r="B13" s="34"/>
      <c r="C13" s="34"/>
      <c r="D13" s="34"/>
      <c r="E13" s="61"/>
      <c r="F13" s="34"/>
      <c r="G13" s="34"/>
      <c r="H13" s="34"/>
      <c r="I13" s="34"/>
      <c r="J13" s="34"/>
      <c r="K13" s="34"/>
      <c r="L13" s="34"/>
      <c r="M13" s="34"/>
      <c r="N13" s="34"/>
      <c r="O13" s="34"/>
      <c r="P13" s="29"/>
      <c r="S13" s="8" t="s">
        <v>96</v>
      </c>
      <c r="T13" s="13">
        <v>0.14</v>
      </c>
      <c r="U13" s="5" t="s">
        <v>2</v>
      </c>
      <c r="W13" s="3" t="s">
        <v>48</v>
      </c>
      <c r="X13" s="19">
        <f>1/N11</f>
        <v>0.6666666666666666</v>
      </c>
      <c r="Y13" s="4"/>
      <c r="Z13" s="4"/>
      <c r="AA13" s="4"/>
      <c r="AB13" s="4"/>
      <c r="AC13" s="4"/>
      <c r="AD13" s="4"/>
      <c r="AE13" s="4"/>
      <c r="AF13" s="4"/>
      <c r="AG13" s="4"/>
      <c r="AH13" s="4"/>
      <c r="AI13" s="4"/>
      <c r="AJ13" s="4"/>
      <c r="AK13" s="4"/>
      <c r="AL13" s="5"/>
    </row>
    <row r="14" spans="1:38" ht="12.75">
      <c r="A14" s="34"/>
      <c r="B14" s="34"/>
      <c r="C14" s="34"/>
      <c r="D14" s="34"/>
      <c r="E14" s="34"/>
      <c r="F14" s="34"/>
      <c r="G14" s="34"/>
      <c r="H14" s="34"/>
      <c r="I14" s="34"/>
      <c r="J14" s="34"/>
      <c r="K14" s="34"/>
      <c r="L14" s="34"/>
      <c r="M14" s="34"/>
      <c r="N14" s="34"/>
      <c r="O14" s="34"/>
      <c r="P14" s="29"/>
      <c r="S14" s="8" t="s">
        <v>120</v>
      </c>
      <c r="T14" s="13">
        <v>0.009</v>
      </c>
      <c r="U14" s="5" t="s">
        <v>2</v>
      </c>
      <c r="W14" s="3"/>
      <c r="X14" s="4"/>
      <c r="Y14" s="4"/>
      <c r="Z14" s="4"/>
      <c r="AA14" s="4"/>
      <c r="AB14" s="4"/>
      <c r="AC14" s="4"/>
      <c r="AD14" s="4"/>
      <c r="AE14" s="4"/>
      <c r="AF14" s="4"/>
      <c r="AG14" s="4"/>
      <c r="AH14" s="4"/>
      <c r="AI14" s="4"/>
      <c r="AJ14" s="4"/>
      <c r="AK14" s="4"/>
      <c r="AL14" s="5"/>
    </row>
    <row r="15" spans="1:38" ht="12.75">
      <c r="A15" s="34" t="s">
        <v>9</v>
      </c>
      <c r="B15" s="34"/>
      <c r="C15" s="65">
        <f>VLOOKUP(C11,S27:T40,2,FALSE)</f>
        <v>2.6</v>
      </c>
      <c r="D15" s="34" t="s">
        <v>2</v>
      </c>
      <c r="E15" s="64"/>
      <c r="F15" s="34"/>
      <c r="G15" s="34"/>
      <c r="H15" s="34"/>
      <c r="I15" s="34" t="s">
        <v>17</v>
      </c>
      <c r="J15" s="34"/>
      <c r="K15" s="34"/>
      <c r="L15" s="34">
        <v>1</v>
      </c>
      <c r="M15" s="63" t="s">
        <v>15</v>
      </c>
      <c r="N15" s="60">
        <v>20</v>
      </c>
      <c r="O15" s="34"/>
      <c r="P15" s="29"/>
      <c r="S15" s="8"/>
      <c r="T15" s="13"/>
      <c r="U15" s="5" t="s">
        <v>2</v>
      </c>
      <c r="W15" s="3" t="s">
        <v>49</v>
      </c>
      <c r="X15" s="19">
        <f>1/N15</f>
        <v>0.05</v>
      </c>
      <c r="Y15" s="4"/>
      <c r="Z15" s="4"/>
      <c r="AA15" s="4"/>
      <c r="AB15" s="4"/>
      <c r="AC15" s="4"/>
      <c r="AD15" s="4"/>
      <c r="AE15" s="4"/>
      <c r="AF15" s="4"/>
      <c r="AG15" s="4"/>
      <c r="AH15" s="4"/>
      <c r="AI15" s="4"/>
      <c r="AJ15" s="4"/>
      <c r="AK15" s="4"/>
      <c r="AL15" s="5"/>
    </row>
    <row r="16" spans="1:40" ht="12.75">
      <c r="A16" s="66" t="s">
        <v>124</v>
      </c>
      <c r="B16" s="34"/>
      <c r="C16" s="64"/>
      <c r="D16" s="34"/>
      <c r="E16" s="64"/>
      <c r="F16" s="34"/>
      <c r="G16" s="34"/>
      <c r="H16" s="34"/>
      <c r="I16" s="34"/>
      <c r="J16" s="34"/>
      <c r="K16" s="34"/>
      <c r="L16" s="34"/>
      <c r="M16" s="34"/>
      <c r="N16" s="34"/>
      <c r="O16" s="34"/>
      <c r="P16" s="29"/>
      <c r="S16" s="8" t="s">
        <v>29</v>
      </c>
      <c r="T16" s="13">
        <v>0.19</v>
      </c>
      <c r="U16" s="5" t="s">
        <v>2</v>
      </c>
      <c r="W16" s="3"/>
      <c r="X16" s="4"/>
      <c r="Y16" s="4"/>
      <c r="Z16" s="4"/>
      <c r="AA16" s="4"/>
      <c r="AB16" s="10" t="s">
        <v>53</v>
      </c>
      <c r="AC16" s="4">
        <f>-X13*X27+Y27</f>
        <v>0.6333333333333333</v>
      </c>
      <c r="AD16" s="4"/>
      <c r="AE16" s="4"/>
      <c r="AF16" s="4"/>
      <c r="AG16" s="4"/>
      <c r="AH16" s="4"/>
      <c r="AI16" s="4"/>
      <c r="AJ16" s="4"/>
      <c r="AK16" s="4"/>
      <c r="AL16" s="5"/>
      <c r="AM16" t="s">
        <v>101</v>
      </c>
      <c r="AN16" s="1">
        <f>AN22*X13+AO22</f>
        <v>1.633333333333333</v>
      </c>
    </row>
    <row r="17" spans="1:38" ht="12.75">
      <c r="A17" s="34"/>
      <c r="B17" s="34"/>
      <c r="C17" s="64"/>
      <c r="D17" s="34"/>
      <c r="E17" s="64"/>
      <c r="F17" s="34"/>
      <c r="G17" s="34"/>
      <c r="H17" s="34"/>
      <c r="I17" s="34" t="s">
        <v>18</v>
      </c>
      <c r="J17" s="34"/>
      <c r="K17" s="34"/>
      <c r="L17" s="34"/>
      <c r="M17" s="34"/>
      <c r="N17" s="32">
        <v>1.65</v>
      </c>
      <c r="O17" s="34" t="s">
        <v>19</v>
      </c>
      <c r="P17" s="29"/>
      <c r="S17" s="8" t="s">
        <v>92</v>
      </c>
      <c r="T17" s="13">
        <v>0.214</v>
      </c>
      <c r="U17" s="5" t="s">
        <v>2</v>
      </c>
      <c r="W17" s="3" t="s">
        <v>50</v>
      </c>
      <c r="X17" s="19">
        <f>TAN(ASIN((u/1000)/1.5))</f>
        <v>0</v>
      </c>
      <c r="Y17" s="4"/>
      <c r="Z17" s="4" t="s">
        <v>51</v>
      </c>
      <c r="AA17" s="4">
        <f>COS(ATAN(X17))</f>
        <v>1</v>
      </c>
      <c r="AB17" s="10" t="s">
        <v>66</v>
      </c>
      <c r="AC17" s="4">
        <f>-((T9/AA17)+d)</f>
        <v>-0.564</v>
      </c>
      <c r="AD17" s="4"/>
      <c r="AE17" s="4" t="s">
        <v>67</v>
      </c>
      <c r="AF17" s="19">
        <f>AC17+(Y36-Y24)</f>
        <v>-0.639</v>
      </c>
      <c r="AG17" s="4"/>
      <c r="AH17" s="4"/>
      <c r="AI17" s="4"/>
      <c r="AJ17" s="4"/>
      <c r="AK17" s="4"/>
      <c r="AL17" s="5"/>
    </row>
    <row r="18" spans="1:38" ht="12.75">
      <c r="A18" s="34"/>
      <c r="B18" s="34"/>
      <c r="C18" s="64"/>
      <c r="D18" s="34"/>
      <c r="E18" s="34"/>
      <c r="F18" s="34"/>
      <c r="G18" s="34"/>
      <c r="H18" s="34"/>
      <c r="I18" s="34"/>
      <c r="J18" s="34"/>
      <c r="K18" s="34"/>
      <c r="L18" s="34"/>
      <c r="M18" s="34"/>
      <c r="N18" s="34"/>
      <c r="O18" s="34"/>
      <c r="P18" s="29"/>
      <c r="S18" s="8" t="s">
        <v>91</v>
      </c>
      <c r="T18" s="13">
        <v>0.214</v>
      </c>
      <c r="U18" s="5" t="s">
        <v>2</v>
      </c>
      <c r="W18" s="3"/>
      <c r="X18" s="19"/>
      <c r="Y18" s="4"/>
      <c r="Z18" s="4" t="s">
        <v>52</v>
      </c>
      <c r="AA18" s="4">
        <f>SIN(ATAN(X17))</f>
        <v>0</v>
      </c>
      <c r="AB18" s="4"/>
      <c r="AC18" s="4"/>
      <c r="AD18" s="4"/>
      <c r="AE18" s="4"/>
      <c r="AF18" s="4"/>
      <c r="AG18" s="4"/>
      <c r="AH18" s="4"/>
      <c r="AI18" s="4"/>
      <c r="AJ18" s="4"/>
      <c r="AK18" s="4"/>
      <c r="AL18" s="5"/>
    </row>
    <row r="19" spans="1:39" ht="12.75">
      <c r="A19" s="34" t="s">
        <v>12</v>
      </c>
      <c r="B19" s="34"/>
      <c r="C19" s="32">
        <v>0.6</v>
      </c>
      <c r="D19" s="34" t="s">
        <v>2</v>
      </c>
      <c r="E19" s="64"/>
      <c r="F19" s="34"/>
      <c r="G19" s="34"/>
      <c r="H19" s="34"/>
      <c r="I19" s="34" t="s">
        <v>118</v>
      </c>
      <c r="J19" s="34"/>
      <c r="K19" s="34"/>
      <c r="L19" s="34"/>
      <c r="M19" s="34"/>
      <c r="N19" s="30">
        <v>1</v>
      </c>
      <c r="O19" s="34"/>
      <c r="P19" s="29"/>
      <c r="S19" s="8" t="s">
        <v>11</v>
      </c>
      <c r="T19" s="13">
        <v>0.234</v>
      </c>
      <c r="U19" s="5" t="s">
        <v>2</v>
      </c>
      <c r="W19" s="3" t="s">
        <v>65</v>
      </c>
      <c r="X19" s="4"/>
      <c r="Y19" s="4"/>
      <c r="Z19" s="4"/>
      <c r="AA19" s="4"/>
      <c r="AB19" s="4"/>
      <c r="AC19" s="4"/>
      <c r="AD19" s="4"/>
      <c r="AE19" s="4" t="s">
        <v>68</v>
      </c>
      <c r="AF19" s="4"/>
      <c r="AG19" s="4"/>
      <c r="AH19" s="4" t="s">
        <v>69</v>
      </c>
      <c r="AI19" s="4"/>
      <c r="AJ19" s="4"/>
      <c r="AK19" s="4"/>
      <c r="AL19" s="5"/>
      <c r="AM19" t="s">
        <v>111</v>
      </c>
    </row>
    <row r="20" spans="1:45" ht="12.75">
      <c r="A20" s="66" t="s">
        <v>125</v>
      </c>
      <c r="B20" s="34"/>
      <c r="C20" s="64"/>
      <c r="D20" s="34"/>
      <c r="E20" s="64"/>
      <c r="F20" s="34"/>
      <c r="G20" s="34"/>
      <c r="H20" s="34"/>
      <c r="I20" s="34"/>
      <c r="J20" s="34"/>
      <c r="K20" s="34"/>
      <c r="L20" s="34"/>
      <c r="M20" s="34"/>
      <c r="N20" s="34"/>
      <c r="O20" s="34"/>
      <c r="P20" s="29"/>
      <c r="S20" s="8" t="s">
        <v>10</v>
      </c>
      <c r="T20" s="13">
        <v>0.214</v>
      </c>
      <c r="U20" s="5" t="s">
        <v>2</v>
      </c>
      <c r="W20" s="20" t="s">
        <v>30</v>
      </c>
      <c r="X20" s="21" t="s">
        <v>44</v>
      </c>
      <c r="Y20" s="21" t="s">
        <v>45</v>
      </c>
      <c r="Z20" s="4"/>
      <c r="AA20" s="4"/>
      <c r="AB20" s="4"/>
      <c r="AC20" s="4"/>
      <c r="AD20" s="4"/>
      <c r="AE20" s="21" t="s">
        <v>30</v>
      </c>
      <c r="AF20" s="21" t="s">
        <v>44</v>
      </c>
      <c r="AG20" s="21" t="s">
        <v>45</v>
      </c>
      <c r="AH20" s="21" t="s">
        <v>46</v>
      </c>
      <c r="AI20" s="21" t="s">
        <v>47</v>
      </c>
      <c r="AJ20" s="4"/>
      <c r="AK20" s="4"/>
      <c r="AL20" s="5"/>
      <c r="AM20" s="16" t="str">
        <f aca="true" t="shared" si="0" ref="AM20:AO22">W20</f>
        <v>Punkte</v>
      </c>
      <c r="AN20" s="16" t="str">
        <f t="shared" si="0"/>
        <v>xi</v>
      </c>
      <c r="AO20" s="16" t="str">
        <f t="shared" si="0"/>
        <v>yi</v>
      </c>
      <c r="AP20" s="16" t="s">
        <v>103</v>
      </c>
      <c r="AQ20" s="16" t="s">
        <v>104</v>
      </c>
      <c r="AR20" s="11"/>
      <c r="AS20" s="11"/>
    </row>
    <row r="21" spans="1:44" ht="12.75">
      <c r="A21" s="34"/>
      <c r="B21" s="34"/>
      <c r="C21" s="64"/>
      <c r="D21" s="34"/>
      <c r="E21" s="64"/>
      <c r="F21" s="34"/>
      <c r="G21" s="34"/>
      <c r="H21" s="34"/>
      <c r="I21" s="34"/>
      <c r="J21" s="34"/>
      <c r="K21" s="34"/>
      <c r="L21" s="34"/>
      <c r="M21" s="34"/>
      <c r="N21" s="34"/>
      <c r="O21" s="34"/>
      <c r="P21" s="29"/>
      <c r="S21" s="8" t="s">
        <v>89</v>
      </c>
      <c r="T21" s="13">
        <v>0.193</v>
      </c>
      <c r="U21" s="5" t="s">
        <v>2</v>
      </c>
      <c r="W21" s="20" t="s">
        <v>32</v>
      </c>
      <c r="X21" s="22">
        <v>0</v>
      </c>
      <c r="Y21" s="22">
        <v>0</v>
      </c>
      <c r="Z21" s="4"/>
      <c r="AA21" s="4" t="s">
        <v>39</v>
      </c>
      <c r="AB21" s="4" t="s">
        <v>54</v>
      </c>
      <c r="AC21" s="4"/>
      <c r="AD21" s="4"/>
      <c r="AE21" s="21" t="s">
        <v>32</v>
      </c>
      <c r="AF21" s="22">
        <f>X21</f>
        <v>0</v>
      </c>
      <c r="AG21" s="22">
        <f>Y21</f>
        <v>0</v>
      </c>
      <c r="AH21" s="19">
        <f aca="true" t="shared" si="1" ref="AH21:AH27">AF21-$X$29</f>
        <v>-6</v>
      </c>
      <c r="AI21" s="19">
        <f>AG21</f>
        <v>0</v>
      </c>
      <c r="AJ21" s="4"/>
      <c r="AK21" s="4"/>
      <c r="AL21" s="5"/>
      <c r="AM21" s="16" t="str">
        <f t="shared" si="0"/>
        <v>Ai</v>
      </c>
      <c r="AN21" s="1">
        <f t="shared" si="0"/>
        <v>0</v>
      </c>
      <c r="AO21" s="1">
        <f t="shared" si="0"/>
        <v>0</v>
      </c>
      <c r="AP21" s="1">
        <f aca="true" t="shared" si="2" ref="AP21:AP27">AN21*AO22</f>
        <v>0</v>
      </c>
      <c r="AQ21" s="1">
        <f aca="true" t="shared" si="3" ref="AQ21:AQ27">AN22*AO21</f>
        <v>0</v>
      </c>
      <c r="AR21" s="1">
        <f aca="true" t="shared" si="4" ref="AR21:AR27">AP21-AQ21</f>
        <v>0</v>
      </c>
    </row>
    <row r="22" spans="1:44" ht="13.5" thickBot="1">
      <c r="A22" s="34"/>
      <c r="B22" s="34"/>
      <c r="C22" s="64"/>
      <c r="D22" s="34"/>
      <c r="E22" s="34"/>
      <c r="F22" s="34"/>
      <c r="G22" s="34"/>
      <c r="H22" s="34"/>
      <c r="I22" s="34"/>
      <c r="J22" s="34"/>
      <c r="K22" s="34"/>
      <c r="L22" s="34"/>
      <c r="M22" s="34"/>
      <c r="N22" s="34"/>
      <c r="O22" s="34"/>
      <c r="P22" s="29"/>
      <c r="S22" s="8" t="s">
        <v>123</v>
      </c>
      <c r="T22" s="13">
        <v>0.095</v>
      </c>
      <c r="U22" s="5" t="s">
        <v>2</v>
      </c>
      <c r="W22" s="20" t="s">
        <v>33</v>
      </c>
      <c r="X22" s="22">
        <f>(1.5+((l-1.5)/2)+N9)*COS(X17)</f>
        <v>2.4499999999999997</v>
      </c>
      <c r="Y22" s="22">
        <f>(1.5+((l-1.5)/2)+N9)*SIN(X17)</f>
        <v>0</v>
      </c>
      <c r="Z22" s="4"/>
      <c r="AA22" s="4" t="s">
        <v>40</v>
      </c>
      <c r="AB22" s="4" t="s">
        <v>55</v>
      </c>
      <c r="AC22" s="4"/>
      <c r="AD22" s="4"/>
      <c r="AE22" s="21" t="s">
        <v>33</v>
      </c>
      <c r="AF22" s="22">
        <f>X22</f>
        <v>2.4499999999999997</v>
      </c>
      <c r="AG22" s="22">
        <f>Y22</f>
        <v>0</v>
      </c>
      <c r="AH22" s="19">
        <f t="shared" si="1"/>
        <v>-3.5500000000000003</v>
      </c>
      <c r="AI22" s="19">
        <f>AG22</f>
        <v>0</v>
      </c>
      <c r="AJ22" s="4"/>
      <c r="AK22" s="4"/>
      <c r="AL22" s="5"/>
      <c r="AM22" s="16" t="str">
        <f t="shared" si="0"/>
        <v>Bi</v>
      </c>
      <c r="AN22" s="1">
        <f t="shared" si="0"/>
        <v>2.4499999999999997</v>
      </c>
      <c r="AO22" s="1">
        <f t="shared" si="0"/>
        <v>0</v>
      </c>
      <c r="AP22" s="1">
        <f t="shared" si="2"/>
        <v>-1.0062093023255811</v>
      </c>
      <c r="AQ22" s="1">
        <f t="shared" si="3"/>
        <v>0</v>
      </c>
      <c r="AR22" s="1">
        <f t="shared" si="4"/>
        <v>-1.0062093023255811</v>
      </c>
    </row>
    <row r="23" spans="1:44" ht="15.75" thickBot="1">
      <c r="A23" s="34" t="s">
        <v>146</v>
      </c>
      <c r="B23" s="34"/>
      <c r="C23" s="32">
        <v>0.35</v>
      </c>
      <c r="D23" s="34" t="s">
        <v>2</v>
      </c>
      <c r="E23" s="64"/>
      <c r="F23" s="34"/>
      <c r="G23" s="34"/>
      <c r="H23" s="34"/>
      <c r="I23" s="49" t="s">
        <v>20</v>
      </c>
      <c r="J23" s="50"/>
      <c r="K23" s="50"/>
      <c r="L23" s="50"/>
      <c r="M23" s="50"/>
      <c r="N23" s="50"/>
      <c r="O23" s="51"/>
      <c r="P23" s="29"/>
      <c r="S23" s="9" t="s">
        <v>122</v>
      </c>
      <c r="T23" s="14">
        <v>0.095</v>
      </c>
      <c r="U23" s="6" t="s">
        <v>2</v>
      </c>
      <c r="W23" s="20" t="s">
        <v>34</v>
      </c>
      <c r="X23" s="22">
        <f>X24</f>
        <v>3.75</v>
      </c>
      <c r="Y23" s="22"/>
      <c r="Z23" s="4"/>
      <c r="AA23" s="4" t="s">
        <v>41</v>
      </c>
      <c r="AB23" s="4" t="s">
        <v>56</v>
      </c>
      <c r="AC23" s="4"/>
      <c r="AD23" s="4"/>
      <c r="AE23" s="21" t="s">
        <v>34</v>
      </c>
      <c r="AF23" s="22">
        <f>X23</f>
        <v>3.75</v>
      </c>
      <c r="AG23" s="22"/>
      <c r="AH23" s="19">
        <f t="shared" si="1"/>
        <v>-2.25</v>
      </c>
      <c r="AI23" s="19"/>
      <c r="AJ23" s="4"/>
      <c r="AK23" s="4"/>
      <c r="AL23" s="5"/>
      <c r="AM23" s="16" t="s">
        <v>100</v>
      </c>
      <c r="AN23" s="1">
        <f>(AC17-AN16)/(-X13-X15)</f>
        <v>3.0660465116279063</v>
      </c>
      <c r="AO23" s="1">
        <f>AN23*X15+AC17</f>
        <v>-0.4106976744186046</v>
      </c>
      <c r="AP23" s="1">
        <f t="shared" si="2"/>
        <v>-1.729250232558139</v>
      </c>
      <c r="AQ23" s="1">
        <f t="shared" si="3"/>
        <v>0</v>
      </c>
      <c r="AR23" s="1">
        <f t="shared" si="4"/>
        <v>-1.729250232558139</v>
      </c>
    </row>
    <row r="24" spans="1:44" ht="12.75">
      <c r="A24" s="34" t="s">
        <v>3</v>
      </c>
      <c r="B24" s="34"/>
      <c r="C24" s="67"/>
      <c r="D24" s="34"/>
      <c r="E24" s="64"/>
      <c r="F24" s="34"/>
      <c r="G24" s="34"/>
      <c r="H24" s="34"/>
      <c r="I24" s="52"/>
      <c r="J24" s="53"/>
      <c r="K24" s="53"/>
      <c r="L24" s="53"/>
      <c r="M24" s="53"/>
      <c r="N24" s="53"/>
      <c r="O24" s="54"/>
      <c r="P24" s="29"/>
      <c r="S24" s="10"/>
      <c r="T24" s="4"/>
      <c r="U24" s="4"/>
      <c r="W24" s="20" t="s">
        <v>35</v>
      </c>
      <c r="X24" s="22">
        <f>(((1.5/2)*AA17)+(aGleis/2))</f>
        <v>3.75</v>
      </c>
      <c r="Y24" s="22">
        <f>X24*X15+AC17</f>
        <v>-0.37649999999999995</v>
      </c>
      <c r="Z24" s="4"/>
      <c r="AA24" s="4"/>
      <c r="AB24" s="4"/>
      <c r="AC24" s="4"/>
      <c r="AD24" s="4"/>
      <c r="AE24" s="21" t="s">
        <v>35</v>
      </c>
      <c r="AF24" s="22">
        <f>X24</f>
        <v>3.75</v>
      </c>
      <c r="AG24" s="22">
        <f>Y36</f>
        <v>-0.45149999999999996</v>
      </c>
      <c r="AH24" s="19">
        <f t="shared" si="1"/>
        <v>-2.25</v>
      </c>
      <c r="AI24" s="19">
        <f>AG24</f>
        <v>-0.45149999999999996</v>
      </c>
      <c r="AJ24" s="4"/>
      <c r="AK24" s="4"/>
      <c r="AL24" s="5"/>
      <c r="AM24" s="16" t="str">
        <f aca="true" t="shared" si="5" ref="AM24:AO26">W25</f>
        <v>Ei</v>
      </c>
      <c r="AN24" s="1">
        <f t="shared" si="5"/>
        <v>0</v>
      </c>
      <c r="AO24" s="1">
        <f t="shared" si="5"/>
        <v>-0.564</v>
      </c>
      <c r="AP24" s="1">
        <f t="shared" si="2"/>
        <v>0</v>
      </c>
      <c r="AQ24" s="1">
        <f t="shared" si="3"/>
        <v>1.0950745945945948</v>
      </c>
      <c r="AR24" s="1">
        <f t="shared" si="4"/>
        <v>-1.0950745945945948</v>
      </c>
    </row>
    <row r="25" spans="1:44" ht="12.75">
      <c r="A25" s="34"/>
      <c r="B25" s="34"/>
      <c r="C25" s="67"/>
      <c r="D25" s="34"/>
      <c r="E25" s="34"/>
      <c r="F25" s="34"/>
      <c r="G25" s="34"/>
      <c r="H25" s="34"/>
      <c r="I25" s="52" t="s">
        <v>112</v>
      </c>
      <c r="J25" s="53"/>
      <c r="K25" s="53"/>
      <c r="L25" s="53"/>
      <c r="M25" s="53"/>
      <c r="N25" s="53"/>
      <c r="O25" s="70">
        <f>IF(gleisig=2,-AF40,IF(AS34&gt;=AS33,-AR28,-AR43))</f>
        <v>6.112841486486486</v>
      </c>
      <c r="P25" s="29"/>
      <c r="S25" s="10"/>
      <c r="T25" s="4"/>
      <c r="U25" s="4"/>
      <c r="W25" s="20" t="s">
        <v>36</v>
      </c>
      <c r="X25" s="22">
        <v>0</v>
      </c>
      <c r="Y25" s="22">
        <f>-(T9/(COS(X17))+d)</f>
        <v>-0.564</v>
      </c>
      <c r="Z25" s="4"/>
      <c r="AA25" s="4"/>
      <c r="AB25" s="4"/>
      <c r="AC25" s="4"/>
      <c r="AD25" s="4"/>
      <c r="AE25" s="21" t="s">
        <v>36</v>
      </c>
      <c r="AF25" s="22">
        <f>X25</f>
        <v>0</v>
      </c>
      <c r="AG25" s="22">
        <f>AF25*X15+AF17</f>
        <v>-0.639</v>
      </c>
      <c r="AH25" s="19">
        <f t="shared" si="1"/>
        <v>-6</v>
      </c>
      <c r="AI25" s="19">
        <f>AG25</f>
        <v>-0.639</v>
      </c>
      <c r="AJ25" s="4"/>
      <c r="AK25" s="4"/>
      <c r="AL25" s="5"/>
      <c r="AM25" s="16" t="str">
        <f t="shared" si="5"/>
        <v>Fi</v>
      </c>
      <c r="AN25" s="1">
        <f t="shared" si="5"/>
        <v>-1.941621621621622</v>
      </c>
      <c r="AO25" s="1">
        <f t="shared" si="5"/>
        <v>-0.6610810810810812</v>
      </c>
      <c r="AP25" s="1">
        <f t="shared" si="2"/>
        <v>0</v>
      </c>
      <c r="AQ25" s="1">
        <f t="shared" si="3"/>
        <v>0.6280270270270272</v>
      </c>
      <c r="AR25" s="1">
        <f t="shared" si="4"/>
        <v>-0.6280270270270272</v>
      </c>
    </row>
    <row r="26" spans="1:44" ht="13.5" thickBot="1">
      <c r="A26" s="34"/>
      <c r="B26" s="34"/>
      <c r="C26" s="34"/>
      <c r="D26" s="34"/>
      <c r="E26" s="34"/>
      <c r="F26" s="34"/>
      <c r="G26" s="34"/>
      <c r="H26" s="34"/>
      <c r="I26" s="52" t="s">
        <v>113</v>
      </c>
      <c r="J26" s="53"/>
      <c r="K26" s="53"/>
      <c r="L26" s="53"/>
      <c r="M26" s="53"/>
      <c r="N26" s="53"/>
      <c r="O26" s="70">
        <f>IF(gleisig=2,-AF50,"eingleisig")</f>
        <v>3.0564207432432435</v>
      </c>
      <c r="P26" s="29"/>
      <c r="Q26" t="s">
        <v>28</v>
      </c>
      <c r="S26" s="10"/>
      <c r="T26" s="4"/>
      <c r="U26" s="4"/>
      <c r="W26" s="20" t="s">
        <v>37</v>
      </c>
      <c r="X26" s="22">
        <f>(AC17-AC16)/(X13-X15)</f>
        <v>-1.941621621621622</v>
      </c>
      <c r="Y26" s="22">
        <f>X13*X26+AC16</f>
        <v>-0.6610810810810812</v>
      </c>
      <c r="Z26" s="4"/>
      <c r="AA26" s="4"/>
      <c r="AB26" s="10" t="s">
        <v>62</v>
      </c>
      <c r="AC26" s="4">
        <f>X13*X33+Y33</f>
        <v>1.633333333333333</v>
      </c>
      <c r="AD26" s="4"/>
      <c r="AE26" s="21" t="s">
        <v>37</v>
      </c>
      <c r="AF26" s="22">
        <f>(AF17-AC16)/(X13-X15)</f>
        <v>-2.0632432432432437</v>
      </c>
      <c r="AG26" s="22">
        <f>AF26*X15+AF17</f>
        <v>-0.7421621621621622</v>
      </c>
      <c r="AH26" s="19">
        <f t="shared" si="1"/>
        <v>-8.063243243243244</v>
      </c>
      <c r="AI26" s="19">
        <f>AG26</f>
        <v>-0.7421621621621622</v>
      </c>
      <c r="AJ26" s="4"/>
      <c r="AK26" s="4"/>
      <c r="AL26" s="5"/>
      <c r="AM26" s="16" t="str">
        <f t="shared" si="5"/>
        <v>Gi</v>
      </c>
      <c r="AN26" s="1">
        <f t="shared" si="5"/>
        <v>-0.9500000000000001</v>
      </c>
      <c r="AO26" s="1">
        <f t="shared" si="5"/>
        <v>0</v>
      </c>
      <c r="AP26" s="1">
        <f t="shared" si="2"/>
        <v>0</v>
      </c>
      <c r="AQ26" s="1">
        <f t="shared" si="3"/>
        <v>0</v>
      </c>
      <c r="AR26" s="1">
        <f t="shared" si="4"/>
        <v>0</v>
      </c>
    </row>
    <row r="27" spans="1:44" ht="12.75">
      <c r="A27" s="34" t="s">
        <v>4</v>
      </c>
      <c r="B27" s="34"/>
      <c r="C27" s="30">
        <v>2</v>
      </c>
      <c r="D27" s="34" t="str">
        <f>"-gleisig"</f>
        <v>-gleisig</v>
      </c>
      <c r="E27" s="34">
        <v>1</v>
      </c>
      <c r="F27" s="34" t="str">
        <f>"-gleisig"</f>
        <v>-gleisig</v>
      </c>
      <c r="G27" s="34"/>
      <c r="H27" s="34"/>
      <c r="I27" s="52" t="s">
        <v>114</v>
      </c>
      <c r="J27" s="53"/>
      <c r="K27" s="53"/>
      <c r="L27" s="53"/>
      <c r="M27" s="53"/>
      <c r="N27" s="53"/>
      <c r="O27" s="70">
        <f>IF(gleisig=2,-AF60,"eingleisig")</f>
        <v>3.056420743243243</v>
      </c>
      <c r="P27" s="29"/>
      <c r="S27" s="7" t="s">
        <v>93</v>
      </c>
      <c r="T27" s="12">
        <v>2.6</v>
      </c>
      <c r="U27" s="2" t="s">
        <v>2</v>
      </c>
      <c r="W27" s="20" t="s">
        <v>38</v>
      </c>
      <c r="X27" s="22">
        <f>-(((l-1.5)/2)+N9)*COS(X17)</f>
        <v>-0.9500000000000001</v>
      </c>
      <c r="Y27" s="22">
        <f>-(((l-1.5)/2)+N9)*SIN(X17)</f>
        <v>0</v>
      </c>
      <c r="Z27" s="4"/>
      <c r="AA27" s="4"/>
      <c r="AB27" s="10" t="s">
        <v>63</v>
      </c>
      <c r="AC27" s="4">
        <f>AC17</f>
        <v>-0.564</v>
      </c>
      <c r="AD27" s="4"/>
      <c r="AE27" s="21" t="s">
        <v>38</v>
      </c>
      <c r="AF27" s="22">
        <f>X27</f>
        <v>-0.9500000000000001</v>
      </c>
      <c r="AG27" s="22">
        <f>Y27</f>
        <v>0</v>
      </c>
      <c r="AH27" s="19">
        <f t="shared" si="1"/>
        <v>-6.95</v>
      </c>
      <c r="AI27" s="19">
        <f>AG27</f>
        <v>0</v>
      </c>
      <c r="AJ27" s="4"/>
      <c r="AK27" s="4"/>
      <c r="AL27" s="5"/>
      <c r="AM27" s="16" t="s">
        <v>32</v>
      </c>
      <c r="AN27" s="1">
        <f>AN21</f>
        <v>0</v>
      </c>
      <c r="AO27" s="1">
        <f>AO21</f>
        <v>0</v>
      </c>
      <c r="AP27" s="1">
        <f t="shared" si="2"/>
        <v>0</v>
      </c>
      <c r="AQ27" s="1">
        <f t="shared" si="3"/>
        <v>0</v>
      </c>
      <c r="AR27" s="1">
        <f t="shared" si="4"/>
        <v>0</v>
      </c>
    </row>
    <row r="28" spans="1:45" ht="12.75">
      <c r="A28" s="34"/>
      <c r="B28" s="34"/>
      <c r="C28" s="34"/>
      <c r="D28" s="34"/>
      <c r="E28" s="34">
        <v>2</v>
      </c>
      <c r="F28" s="34" t="str">
        <f>"-gleisig"</f>
        <v>-gleisig</v>
      </c>
      <c r="G28" s="34"/>
      <c r="H28" s="34"/>
      <c r="I28" s="52"/>
      <c r="J28" s="53"/>
      <c r="K28" s="53"/>
      <c r="L28" s="53"/>
      <c r="M28" s="53"/>
      <c r="N28" s="53"/>
      <c r="O28" s="54"/>
      <c r="P28" s="29"/>
      <c r="S28" s="8" t="s">
        <v>94</v>
      </c>
      <c r="T28" s="13">
        <v>2.6</v>
      </c>
      <c r="U28" s="5" t="s">
        <v>2</v>
      </c>
      <c r="W28" s="3"/>
      <c r="X28" s="4"/>
      <c r="Y28" s="4"/>
      <c r="Z28" s="4"/>
      <c r="AA28" s="4"/>
      <c r="AB28" s="4"/>
      <c r="AC28" s="4"/>
      <c r="AD28" s="4"/>
      <c r="AE28" s="4"/>
      <c r="AF28" s="4"/>
      <c r="AG28" s="4"/>
      <c r="AH28" s="4"/>
      <c r="AI28" s="4"/>
      <c r="AJ28" s="4"/>
      <c r="AK28" s="4"/>
      <c r="AL28" s="5"/>
      <c r="AM28" s="11" t="s">
        <v>105</v>
      </c>
      <c r="AN28" s="11"/>
      <c r="AO28" s="11"/>
      <c r="AP28" s="11"/>
      <c r="AQ28" s="11"/>
      <c r="AR28" s="18">
        <f>SUM(AR21:AR27)/2</f>
        <v>-2.229280578252671</v>
      </c>
      <c r="AS28" s="11" t="s">
        <v>21</v>
      </c>
    </row>
    <row r="29" spans="1:44" ht="12.75">
      <c r="A29" s="34"/>
      <c r="B29" s="34"/>
      <c r="C29" s="34"/>
      <c r="D29" s="34"/>
      <c r="E29" s="34"/>
      <c r="F29" s="34"/>
      <c r="G29" s="34"/>
      <c r="H29" s="34"/>
      <c r="I29" s="52" t="s">
        <v>97</v>
      </c>
      <c r="J29" s="53"/>
      <c r="K29" s="53"/>
      <c r="L29" s="53"/>
      <c r="M29" s="53"/>
      <c r="N29" s="55">
        <f>IF(gleisig=2,(-AF40-(2*S70))*N19,IF(AS34&gt;=AS33,(-AR28-S70)*N19,(-AR43-S70)*N19))</f>
        <v>5.732841486486486</v>
      </c>
      <c r="O29" s="54" t="s">
        <v>22</v>
      </c>
      <c r="P29" s="29"/>
      <c r="S29" s="8" t="s">
        <v>95</v>
      </c>
      <c r="T29" s="13">
        <v>2.5</v>
      </c>
      <c r="U29" s="5" t="s">
        <v>2</v>
      </c>
      <c r="W29" s="3" t="s">
        <v>64</v>
      </c>
      <c r="X29" s="19">
        <f>X24-X36</f>
        <v>6</v>
      </c>
      <c r="Y29" s="4"/>
      <c r="Z29" s="4"/>
      <c r="AA29" s="4"/>
      <c r="AB29" s="4"/>
      <c r="AC29" s="4"/>
      <c r="AD29" s="4"/>
      <c r="AE29" s="4"/>
      <c r="AF29" s="4"/>
      <c r="AG29" s="4"/>
      <c r="AH29" s="4"/>
      <c r="AI29" s="4"/>
      <c r="AJ29" s="4"/>
      <c r="AK29" s="4"/>
      <c r="AL29" s="5"/>
      <c r="AM29" t="s">
        <v>102</v>
      </c>
      <c r="AO29">
        <f>-X13*AN23+AN16</f>
        <v>-0.41069767441860416</v>
      </c>
      <c r="AR29" t="s">
        <v>106</v>
      </c>
    </row>
    <row r="30" spans="1:44" ht="12.75">
      <c r="A30" s="34"/>
      <c r="B30" s="34"/>
      <c r="C30" s="34"/>
      <c r="D30" s="34"/>
      <c r="E30" s="34"/>
      <c r="F30" s="34"/>
      <c r="G30" s="34"/>
      <c r="H30" s="34"/>
      <c r="I30" s="52" t="s">
        <v>98</v>
      </c>
      <c r="J30" s="53"/>
      <c r="K30" s="53"/>
      <c r="L30" s="53"/>
      <c r="M30" s="53"/>
      <c r="N30" s="55">
        <f>IF(gleisig=2,(-AF50-S70)*N19,"eingleisig")</f>
        <v>2.8664207432432436</v>
      </c>
      <c r="O30" s="54" t="s">
        <v>22</v>
      </c>
      <c r="P30" s="29"/>
      <c r="S30" s="8" t="s">
        <v>96</v>
      </c>
      <c r="T30" s="13">
        <v>2.5</v>
      </c>
      <c r="U30" s="5" t="s">
        <v>2</v>
      </c>
      <c r="W30" s="3" t="s">
        <v>31</v>
      </c>
      <c r="X30" s="4"/>
      <c r="Y30" s="4"/>
      <c r="Z30" s="4"/>
      <c r="AA30" s="4" t="s">
        <v>73</v>
      </c>
      <c r="AB30" s="4"/>
      <c r="AC30" s="4"/>
      <c r="AD30" s="4"/>
      <c r="AE30" s="4"/>
      <c r="AF30" s="4"/>
      <c r="AG30" s="4"/>
      <c r="AH30" s="4"/>
      <c r="AI30" s="4"/>
      <c r="AJ30" s="4"/>
      <c r="AK30" s="4"/>
      <c r="AL30" s="5"/>
      <c r="AR30" t="s">
        <v>110</v>
      </c>
    </row>
    <row r="31" spans="1:38" ht="12.75">
      <c r="A31" s="34" t="s">
        <v>5</v>
      </c>
      <c r="B31" s="34"/>
      <c r="C31" s="32">
        <v>6</v>
      </c>
      <c r="D31" s="34" t="s">
        <v>2</v>
      </c>
      <c r="E31" s="64"/>
      <c r="F31" s="34"/>
      <c r="G31" s="34"/>
      <c r="H31" s="34"/>
      <c r="I31" s="52" t="s">
        <v>99</v>
      </c>
      <c r="J31" s="53"/>
      <c r="K31" s="53"/>
      <c r="L31" s="53"/>
      <c r="M31" s="53"/>
      <c r="N31" s="55">
        <f>IF(gleisig=2,(-AF60-S70)*N19,"eingleisig")</f>
        <v>2.866420743243243</v>
      </c>
      <c r="O31" s="54" t="s">
        <v>22</v>
      </c>
      <c r="P31" s="29"/>
      <c r="S31" s="8" t="s">
        <v>120</v>
      </c>
      <c r="T31" s="13">
        <v>2.5</v>
      </c>
      <c r="U31" s="5" t="s">
        <v>2</v>
      </c>
      <c r="W31" s="20" t="s">
        <v>30</v>
      </c>
      <c r="X31" s="21" t="s">
        <v>46</v>
      </c>
      <c r="Y31" s="21" t="s">
        <v>47</v>
      </c>
      <c r="Z31" s="4"/>
      <c r="AA31" s="21" t="s">
        <v>30</v>
      </c>
      <c r="AB31" s="21" t="s">
        <v>46</v>
      </c>
      <c r="AC31" s="21" t="s">
        <v>47</v>
      </c>
      <c r="AD31" s="21" t="s">
        <v>78</v>
      </c>
      <c r="AE31" s="21" t="s">
        <v>77</v>
      </c>
      <c r="AF31" s="4"/>
      <c r="AG31" s="4"/>
      <c r="AH31" s="4"/>
      <c r="AI31" s="4"/>
      <c r="AJ31" s="4"/>
      <c r="AK31" s="4"/>
      <c r="AL31" s="5"/>
    </row>
    <row r="32" spans="1:45" ht="12.75">
      <c r="A32" s="34"/>
      <c r="B32" s="34"/>
      <c r="C32" s="34"/>
      <c r="D32" s="34"/>
      <c r="E32" s="64"/>
      <c r="F32" s="34"/>
      <c r="G32" s="34"/>
      <c r="H32" s="34"/>
      <c r="I32" s="52"/>
      <c r="J32" s="53"/>
      <c r="K32" s="53"/>
      <c r="L32" s="53"/>
      <c r="M32" s="53"/>
      <c r="N32" s="53"/>
      <c r="O32" s="54"/>
      <c r="P32" s="29"/>
      <c r="S32" s="8"/>
      <c r="T32" s="13"/>
      <c r="U32" s="5" t="s">
        <v>2</v>
      </c>
      <c r="W32" s="20" t="s">
        <v>42</v>
      </c>
      <c r="X32" s="22">
        <v>0</v>
      </c>
      <c r="Y32" s="22">
        <v>0</v>
      </c>
      <c r="Z32" s="4"/>
      <c r="AA32" s="21" t="s">
        <v>72</v>
      </c>
      <c r="AB32" s="19">
        <f>X38</f>
        <v>-0.9500000000000001</v>
      </c>
      <c r="AC32" s="19">
        <f>Y38</f>
        <v>0</v>
      </c>
      <c r="AD32" s="4">
        <f aca="true" t="shared" si="6" ref="AD32:AD39">AB32*AC33</f>
        <v>0</v>
      </c>
      <c r="AE32" s="4">
        <f aca="true" t="shared" si="7" ref="AE32:AE39">AB33*AC32</f>
        <v>0</v>
      </c>
      <c r="AF32" s="4">
        <f aca="true" t="shared" si="8" ref="AF32:AF39">AD32-AE32</f>
        <v>0</v>
      </c>
      <c r="AG32" s="4"/>
      <c r="AH32" s="4"/>
      <c r="AI32" s="4"/>
      <c r="AJ32" s="4"/>
      <c r="AK32" s="4"/>
      <c r="AL32" s="5"/>
      <c r="AR32" s="26" t="s">
        <v>107</v>
      </c>
      <c r="AS32" s="11"/>
    </row>
    <row r="33" spans="1:45" ht="12.75">
      <c r="A33" s="34"/>
      <c r="B33" s="34"/>
      <c r="C33" s="34"/>
      <c r="D33" s="34"/>
      <c r="E33" s="64"/>
      <c r="F33" s="34"/>
      <c r="G33" s="34"/>
      <c r="H33" s="34"/>
      <c r="I33" s="52" t="s">
        <v>81</v>
      </c>
      <c r="J33" s="53"/>
      <c r="K33" s="53"/>
      <c r="L33" s="53"/>
      <c r="M33" s="53"/>
      <c r="N33" s="55">
        <f>N29*$N$17</f>
        <v>9.459188452702701</v>
      </c>
      <c r="O33" s="54" t="s">
        <v>23</v>
      </c>
      <c r="P33" s="29"/>
      <c r="S33" s="8" t="s">
        <v>29</v>
      </c>
      <c r="T33" s="13">
        <v>2.4</v>
      </c>
      <c r="U33" s="5" t="s">
        <v>2</v>
      </c>
      <c r="W33" s="20" t="s">
        <v>57</v>
      </c>
      <c r="X33" s="22">
        <f>X22</f>
        <v>2.4499999999999997</v>
      </c>
      <c r="Y33" s="22">
        <f>Y22</f>
        <v>0</v>
      </c>
      <c r="Z33" s="4"/>
      <c r="AA33" s="21" t="s">
        <v>70</v>
      </c>
      <c r="AB33" s="19">
        <f>X33</f>
        <v>2.4499999999999997</v>
      </c>
      <c r="AC33" s="19">
        <f>Y33</f>
        <v>0</v>
      </c>
      <c r="AD33" s="4">
        <f t="shared" si="6"/>
        <v>-1.818297297297297</v>
      </c>
      <c r="AE33" s="4">
        <f t="shared" si="7"/>
        <v>0</v>
      </c>
      <c r="AF33" s="4">
        <f t="shared" si="8"/>
        <v>-1.818297297297297</v>
      </c>
      <c r="AG33" s="4"/>
      <c r="AH33" s="4"/>
      <c r="AI33" s="4"/>
      <c r="AJ33" s="4"/>
      <c r="AK33" s="4"/>
      <c r="AL33" s="5"/>
      <c r="AR33" s="11" t="s">
        <v>108</v>
      </c>
      <c r="AS33" s="18">
        <f>1/N15</f>
        <v>0.05</v>
      </c>
    </row>
    <row r="34" spans="1:45" ht="12.75">
      <c r="A34" s="34"/>
      <c r="B34" s="34"/>
      <c r="C34" s="34"/>
      <c r="D34" s="34"/>
      <c r="E34" s="64"/>
      <c r="F34" s="34"/>
      <c r="G34" s="34"/>
      <c r="H34" s="34"/>
      <c r="I34" s="52" t="s">
        <v>82</v>
      </c>
      <c r="J34" s="53"/>
      <c r="K34" s="53"/>
      <c r="L34" s="53"/>
      <c r="M34" s="53"/>
      <c r="N34" s="55">
        <f>IF(gleisig=2,N30*$N$17,"eingleisig")</f>
        <v>4.7295942263513515</v>
      </c>
      <c r="O34" s="54" t="s">
        <v>23</v>
      </c>
      <c r="P34" s="29"/>
      <c r="S34" s="8" t="s">
        <v>92</v>
      </c>
      <c r="T34" s="13">
        <v>2.4</v>
      </c>
      <c r="U34" s="5" t="s">
        <v>2</v>
      </c>
      <c r="W34" s="20" t="s">
        <v>43</v>
      </c>
      <c r="X34" s="22">
        <f>(AC27-AC26)/(-X13+X15)</f>
        <v>3.563243243243243</v>
      </c>
      <c r="Y34" s="19">
        <f>-(X13*X34)+AC26</f>
        <v>-0.7421621621621621</v>
      </c>
      <c r="Z34" s="4"/>
      <c r="AA34" s="21" t="s">
        <v>43</v>
      </c>
      <c r="AB34" s="19">
        <f>X34</f>
        <v>3.563243243243243</v>
      </c>
      <c r="AC34" s="19">
        <f>Y34</f>
        <v>-0.7421621621621621</v>
      </c>
      <c r="AD34" s="4">
        <f t="shared" si="6"/>
        <v>-1.608804324324324</v>
      </c>
      <c r="AE34" s="4">
        <f t="shared" si="7"/>
        <v>1.6698648648648649</v>
      </c>
      <c r="AF34" s="4">
        <f t="shared" si="8"/>
        <v>-3.2786691891891886</v>
      </c>
      <c r="AG34" s="4"/>
      <c r="AH34" s="4"/>
      <c r="AI34" s="4"/>
      <c r="AJ34" s="4"/>
      <c r="AK34" s="4"/>
      <c r="AL34" s="5"/>
      <c r="AR34" s="11" t="s">
        <v>109</v>
      </c>
      <c r="AS34" s="18">
        <f>X17</f>
        <v>0</v>
      </c>
    </row>
    <row r="35" spans="1:38" ht="12.75">
      <c r="A35" s="34" t="s">
        <v>6</v>
      </c>
      <c r="B35" s="34"/>
      <c r="C35" s="30">
        <v>0</v>
      </c>
      <c r="D35" s="34" t="s">
        <v>7</v>
      </c>
      <c r="E35" s="34"/>
      <c r="F35" s="34"/>
      <c r="G35" s="34"/>
      <c r="H35" s="34"/>
      <c r="I35" s="52" t="s">
        <v>83</v>
      </c>
      <c r="J35" s="53"/>
      <c r="K35" s="53"/>
      <c r="L35" s="53"/>
      <c r="M35" s="53"/>
      <c r="N35" s="55">
        <f>IF(gleisig=2,N31*$N$17,"eingleisig")</f>
        <v>4.729594226351351</v>
      </c>
      <c r="O35" s="54" t="s">
        <v>23</v>
      </c>
      <c r="P35" s="29"/>
      <c r="S35" s="8" t="s">
        <v>91</v>
      </c>
      <c r="T35" s="13">
        <v>2.6</v>
      </c>
      <c r="U35" s="5" t="s">
        <v>2</v>
      </c>
      <c r="W35" s="20" t="s">
        <v>60</v>
      </c>
      <c r="X35" s="22">
        <f>X25</f>
        <v>0</v>
      </c>
      <c r="Y35" s="22">
        <f>Y25</f>
        <v>-0.564</v>
      </c>
      <c r="Z35" s="4"/>
      <c r="AA35" s="21" t="s">
        <v>59</v>
      </c>
      <c r="AB35" s="19">
        <f>X36</f>
        <v>-2.25</v>
      </c>
      <c r="AC35" s="19">
        <f>Y36</f>
        <v>-0.45149999999999996</v>
      </c>
      <c r="AD35" s="4">
        <f t="shared" si="6"/>
        <v>1.669864864864865</v>
      </c>
      <c r="AE35" s="4">
        <f t="shared" si="7"/>
        <v>3.6405543243243246</v>
      </c>
      <c r="AF35" s="4">
        <f t="shared" si="8"/>
        <v>-1.9706894594594595</v>
      </c>
      <c r="AG35" s="4"/>
      <c r="AH35" s="4"/>
      <c r="AI35" s="4"/>
      <c r="AJ35" s="4"/>
      <c r="AK35" s="4"/>
      <c r="AL35" s="5"/>
    </row>
    <row r="36" spans="1:38" ht="13.5" thickBot="1">
      <c r="A36" s="34"/>
      <c r="B36" s="34"/>
      <c r="C36" s="34"/>
      <c r="D36" s="34"/>
      <c r="E36" s="34"/>
      <c r="F36" s="34"/>
      <c r="G36" s="34"/>
      <c r="H36" s="34"/>
      <c r="I36" s="56"/>
      <c r="J36" s="57"/>
      <c r="K36" s="57"/>
      <c r="L36" s="57"/>
      <c r="M36" s="57"/>
      <c r="N36" s="57"/>
      <c r="O36" s="58"/>
      <c r="P36" s="29"/>
      <c r="S36" s="8" t="s">
        <v>11</v>
      </c>
      <c r="T36" s="13">
        <v>2.8</v>
      </c>
      <c r="U36" s="5" t="s">
        <v>2</v>
      </c>
      <c r="W36" s="20" t="s">
        <v>59</v>
      </c>
      <c r="X36" s="22">
        <f>-((aGleis/2)-((1.5/2)*AA17))</f>
        <v>-2.25</v>
      </c>
      <c r="Y36" s="22">
        <f>(-(X36*X15)+AC27)</f>
        <v>-0.45149999999999996</v>
      </c>
      <c r="Z36" s="4"/>
      <c r="AA36" s="21" t="s">
        <v>37</v>
      </c>
      <c r="AB36" s="19">
        <f>AH26</f>
        <v>-8.063243243243244</v>
      </c>
      <c r="AC36" s="19">
        <f>AI26</f>
        <v>-0.7421621621621622</v>
      </c>
      <c r="AD36" s="4">
        <f t="shared" si="6"/>
        <v>0</v>
      </c>
      <c r="AE36" s="4">
        <f t="shared" si="7"/>
        <v>5.158027027027027</v>
      </c>
      <c r="AF36" s="4">
        <f t="shared" si="8"/>
        <v>-5.158027027027027</v>
      </c>
      <c r="AG36" s="4"/>
      <c r="AH36" s="4"/>
      <c r="AI36" s="4"/>
      <c r="AJ36" s="4"/>
      <c r="AK36" s="4"/>
      <c r="AL36" s="5"/>
    </row>
    <row r="37" spans="1:45" ht="12.75">
      <c r="A37" s="34"/>
      <c r="B37" s="34"/>
      <c r="C37" s="34"/>
      <c r="D37" s="34"/>
      <c r="E37" s="34"/>
      <c r="F37" s="34"/>
      <c r="G37" s="34"/>
      <c r="H37" s="34"/>
      <c r="I37" s="34"/>
      <c r="J37" s="34"/>
      <c r="K37" s="34"/>
      <c r="L37" s="34"/>
      <c r="M37" s="34"/>
      <c r="N37" s="34"/>
      <c r="O37" s="34"/>
      <c r="P37" s="29"/>
      <c r="S37" s="8" t="s">
        <v>10</v>
      </c>
      <c r="T37" s="13">
        <v>2.6</v>
      </c>
      <c r="U37" s="5" t="s">
        <v>2</v>
      </c>
      <c r="W37" s="20" t="s">
        <v>58</v>
      </c>
      <c r="X37" s="22"/>
      <c r="Y37" s="22"/>
      <c r="Z37" s="4"/>
      <c r="AA37" s="21" t="s">
        <v>38</v>
      </c>
      <c r="AB37" s="19">
        <f>AH27</f>
        <v>-6.95</v>
      </c>
      <c r="AC37" s="19">
        <f>AI27</f>
        <v>0</v>
      </c>
      <c r="AD37" s="4">
        <f t="shared" si="6"/>
        <v>0</v>
      </c>
      <c r="AE37" s="4">
        <f t="shared" si="7"/>
        <v>0</v>
      </c>
      <c r="AF37" s="4">
        <f t="shared" si="8"/>
        <v>0</v>
      </c>
      <c r="AG37" s="4"/>
      <c r="AH37" s="4"/>
      <c r="AI37" s="4"/>
      <c r="AJ37" s="4"/>
      <c r="AK37" s="4"/>
      <c r="AL37" s="5"/>
      <c r="AM37" s="16" t="s">
        <v>30</v>
      </c>
      <c r="AN37" s="16" t="s">
        <v>44</v>
      </c>
      <c r="AO37" s="16" t="s">
        <v>45</v>
      </c>
      <c r="AP37" s="16" t="s">
        <v>103</v>
      </c>
      <c r="AQ37" s="16" t="s">
        <v>104</v>
      </c>
      <c r="AR37" s="17"/>
      <c r="AS37" s="17"/>
    </row>
    <row r="38" spans="1:44" ht="13.5" customHeight="1">
      <c r="A38" s="34"/>
      <c r="B38" s="34"/>
      <c r="C38" s="34"/>
      <c r="D38" s="34"/>
      <c r="E38" s="34"/>
      <c r="F38" s="34"/>
      <c r="G38" s="34"/>
      <c r="H38" s="34"/>
      <c r="I38" s="34"/>
      <c r="J38" s="34"/>
      <c r="K38" s="34"/>
      <c r="L38" s="34"/>
      <c r="M38" s="34"/>
      <c r="N38" s="34"/>
      <c r="O38" s="61" t="s">
        <v>142</v>
      </c>
      <c r="P38" s="29"/>
      <c r="S38" s="8" t="s">
        <v>89</v>
      </c>
      <c r="T38" s="13">
        <v>2.6</v>
      </c>
      <c r="U38" s="5" t="s">
        <v>2</v>
      </c>
      <c r="W38" s="20" t="s">
        <v>61</v>
      </c>
      <c r="X38" s="22">
        <f>X27</f>
        <v>-0.9500000000000001</v>
      </c>
      <c r="Y38" s="22">
        <f>Y27</f>
        <v>0</v>
      </c>
      <c r="Z38" s="4"/>
      <c r="AA38" s="21" t="s">
        <v>33</v>
      </c>
      <c r="AB38" s="19">
        <f>AH22</f>
        <v>-3.5500000000000003</v>
      </c>
      <c r="AC38" s="19">
        <f>AI22</f>
        <v>0</v>
      </c>
      <c r="AD38" s="4">
        <f t="shared" si="6"/>
        <v>0</v>
      </c>
      <c r="AE38" s="4">
        <f t="shared" si="7"/>
        <v>0</v>
      </c>
      <c r="AF38" s="4">
        <f t="shared" si="8"/>
        <v>0</v>
      </c>
      <c r="AG38" s="4"/>
      <c r="AH38" s="4"/>
      <c r="AI38" s="4"/>
      <c r="AJ38" s="4"/>
      <c r="AK38" s="4"/>
      <c r="AL38" s="5"/>
      <c r="AM38" s="16" t="s">
        <v>72</v>
      </c>
      <c r="AN38" s="1">
        <f aca="true" t="shared" si="9" ref="AN38:AO40">AB32</f>
        <v>-0.9500000000000001</v>
      </c>
      <c r="AO38" s="1">
        <f t="shared" si="9"/>
        <v>0</v>
      </c>
      <c r="AP38" s="1">
        <f>AN38*AO39</f>
        <v>0</v>
      </c>
      <c r="AQ38" s="1">
        <f>AN39*AO38</f>
        <v>0</v>
      </c>
      <c r="AR38" s="1">
        <f>AP38-AQ38</f>
        <v>0</v>
      </c>
    </row>
    <row r="39" spans="1:53" ht="12.75">
      <c r="A39" s="34" t="s">
        <v>130</v>
      </c>
      <c r="B39" s="34"/>
      <c r="C39" s="34"/>
      <c r="D39" s="35" t="s">
        <v>30</v>
      </c>
      <c r="E39" s="36"/>
      <c r="F39" s="36"/>
      <c r="G39" s="36"/>
      <c r="H39" s="36"/>
      <c r="I39" s="37" t="s">
        <v>126</v>
      </c>
      <c r="J39" s="38" t="s">
        <v>127</v>
      </c>
      <c r="K39" s="35"/>
      <c r="L39" s="36"/>
      <c r="M39" s="36"/>
      <c r="N39" s="71" t="s">
        <v>135</v>
      </c>
      <c r="O39" s="36" t="s">
        <v>136</v>
      </c>
      <c r="P39" s="107"/>
      <c r="Q39" s="34"/>
      <c r="R39" s="34"/>
      <c r="S39" s="86" t="s">
        <v>123</v>
      </c>
      <c r="T39" s="87">
        <f>2.3-0.33</f>
        <v>1.9699999999999998</v>
      </c>
      <c r="U39" s="78" t="s">
        <v>2</v>
      </c>
      <c r="V39" s="34"/>
      <c r="W39" s="77"/>
      <c r="X39" s="40"/>
      <c r="Y39" s="40"/>
      <c r="Z39" s="40"/>
      <c r="AA39" s="90" t="s">
        <v>72</v>
      </c>
      <c r="AB39" s="41">
        <f>X38</f>
        <v>-0.9500000000000001</v>
      </c>
      <c r="AC39" s="41">
        <f>Y38</f>
        <v>0</v>
      </c>
      <c r="AD39" s="40">
        <f t="shared" si="6"/>
        <v>0</v>
      </c>
      <c r="AE39" s="40">
        <f t="shared" si="7"/>
        <v>0</v>
      </c>
      <c r="AF39" s="40">
        <f t="shared" si="8"/>
        <v>0</v>
      </c>
      <c r="AG39" s="40"/>
      <c r="AH39" s="40"/>
      <c r="AI39" s="40"/>
      <c r="AJ39" s="40"/>
      <c r="AK39" s="40"/>
      <c r="AL39" s="78"/>
      <c r="AM39" s="91" t="s">
        <v>70</v>
      </c>
      <c r="AN39" s="79">
        <f t="shared" si="9"/>
        <v>2.4499999999999997</v>
      </c>
      <c r="AO39" s="79">
        <f t="shared" si="9"/>
        <v>0</v>
      </c>
      <c r="AP39" s="79">
        <f>AN39*AO40</f>
        <v>-1.818297297297297</v>
      </c>
      <c r="AQ39" s="79">
        <f>AN40*AO39</f>
        <v>0</v>
      </c>
      <c r="AR39" s="79">
        <f>AP39-AQ39</f>
        <v>-1.818297297297297</v>
      </c>
      <c r="AS39" s="34"/>
      <c r="AT39" s="34"/>
      <c r="AU39" s="34"/>
      <c r="AV39" s="34"/>
      <c r="AW39" s="34"/>
      <c r="AX39" s="34"/>
      <c r="AY39" s="34"/>
      <c r="AZ39" s="34"/>
      <c r="BA39" s="34"/>
    </row>
    <row r="40" spans="1:53" ht="13.5" thickBot="1">
      <c r="A40" s="34"/>
      <c r="B40" s="34"/>
      <c r="C40" s="34"/>
      <c r="D40" s="39" t="s">
        <v>72</v>
      </c>
      <c r="E40" s="40"/>
      <c r="F40" s="40"/>
      <c r="G40" s="40"/>
      <c r="H40" s="40"/>
      <c r="I40" s="41">
        <f aca="true" t="shared" si="10" ref="I40:J47">IF(gleisig=2,AB32,"1-gleisig")</f>
        <v>-0.9500000000000001</v>
      </c>
      <c r="J40" s="42">
        <f t="shared" si="10"/>
        <v>0</v>
      </c>
      <c r="K40" s="72"/>
      <c r="L40" s="40"/>
      <c r="M40" s="40"/>
      <c r="N40" s="41">
        <f>IF(gleisig=2,I40-$I$43,"1-gleisig")</f>
        <v>1.2999999999999998</v>
      </c>
      <c r="O40" s="41">
        <f>IF(gleisig=2,J40-$J$43,"1-gleisig")</f>
        <v>0.45149999999999996</v>
      </c>
      <c r="P40" s="100"/>
      <c r="Q40" s="34"/>
      <c r="R40" s="34"/>
      <c r="S40" s="93" t="s">
        <v>122</v>
      </c>
      <c r="T40" s="101">
        <f>2.3-0.33</f>
        <v>1.9699999999999998</v>
      </c>
      <c r="U40" s="95" t="s">
        <v>2</v>
      </c>
      <c r="V40" s="34"/>
      <c r="W40" s="77"/>
      <c r="X40" s="40"/>
      <c r="Y40" s="40"/>
      <c r="Z40" s="40"/>
      <c r="AA40" s="90" t="s">
        <v>79</v>
      </c>
      <c r="AB40" s="102"/>
      <c r="AC40" s="102"/>
      <c r="AD40" s="82"/>
      <c r="AE40" s="82"/>
      <c r="AF40" s="82">
        <f>SUM(AF32:AF39)/2</f>
        <v>-6.112841486486486</v>
      </c>
      <c r="AG40" s="40" t="s">
        <v>21</v>
      </c>
      <c r="AH40" s="40"/>
      <c r="AI40" s="40"/>
      <c r="AJ40" s="40"/>
      <c r="AK40" s="40"/>
      <c r="AL40" s="78"/>
      <c r="AM40" s="91" t="s">
        <v>43</v>
      </c>
      <c r="AN40" s="79">
        <f t="shared" si="9"/>
        <v>3.563243243243243</v>
      </c>
      <c r="AO40" s="79">
        <f t="shared" si="9"/>
        <v>-0.7421621621621621</v>
      </c>
      <c r="AP40" s="79">
        <f>AN40*AO41</f>
        <v>-1.7120140791954739</v>
      </c>
      <c r="AQ40" s="79">
        <f>AN41*AO40</f>
        <v>1.2399285983658075</v>
      </c>
      <c r="AR40" s="79">
        <f>AP40-AQ40</f>
        <v>-2.9519426775612816</v>
      </c>
      <c r="AS40" s="34"/>
      <c r="AT40" s="34"/>
      <c r="AU40" s="34"/>
      <c r="AV40" s="34"/>
      <c r="AW40" s="34"/>
      <c r="AX40" s="34"/>
      <c r="AY40" s="34"/>
      <c r="AZ40" s="34"/>
      <c r="BA40" s="34"/>
    </row>
    <row r="41" spans="1:53" ht="12.75">
      <c r="A41" s="34"/>
      <c r="B41" s="34"/>
      <c r="C41" s="34"/>
      <c r="D41" s="39" t="s">
        <v>70</v>
      </c>
      <c r="E41" s="40"/>
      <c r="F41" s="40"/>
      <c r="G41" s="40"/>
      <c r="H41" s="40"/>
      <c r="I41" s="41">
        <f t="shared" si="10"/>
        <v>2.4499999999999997</v>
      </c>
      <c r="J41" s="42">
        <f t="shared" si="10"/>
        <v>0</v>
      </c>
      <c r="K41" s="72"/>
      <c r="L41" s="40"/>
      <c r="M41" s="40"/>
      <c r="N41" s="41">
        <f>IF(gleisig=2,I41-$I$43,"1-gleisig")</f>
        <v>4.699999999999999</v>
      </c>
      <c r="O41" s="41">
        <f>IF(gleisig=2,J41-$J$43,"1-gleisig")</f>
        <v>0.45149999999999996</v>
      </c>
      <c r="P41" s="100"/>
      <c r="Q41" s="34"/>
      <c r="R41" s="34"/>
      <c r="S41" s="34"/>
      <c r="T41" s="34"/>
      <c r="U41" s="34"/>
      <c r="V41" s="34"/>
      <c r="W41" s="77"/>
      <c r="X41" s="40"/>
      <c r="Y41" s="40"/>
      <c r="Z41" s="40"/>
      <c r="AA41" s="40"/>
      <c r="AB41" s="40"/>
      <c r="AC41" s="40"/>
      <c r="AD41" s="40"/>
      <c r="AE41" s="40"/>
      <c r="AF41" s="40"/>
      <c r="AG41" s="40"/>
      <c r="AH41" s="40"/>
      <c r="AI41" s="40"/>
      <c r="AJ41" s="40"/>
      <c r="AK41" s="40"/>
      <c r="AL41" s="78"/>
      <c r="AM41" s="91" t="s">
        <v>71</v>
      </c>
      <c r="AN41" s="79">
        <f>(AC27-AC16)/(X13+X15)</f>
        <v>-1.6706976744186046</v>
      </c>
      <c r="AO41" s="79">
        <f>AN41*X13+AC16</f>
        <v>-0.4804651162790696</v>
      </c>
      <c r="AP41" s="79">
        <f>AN41*AO42</f>
        <v>0</v>
      </c>
      <c r="AQ41" s="79">
        <f>AN42*AO41</f>
        <v>0.4564418604651162</v>
      </c>
      <c r="AR41" s="79">
        <f>AP41-AQ41</f>
        <v>-0.4564418604651162</v>
      </c>
      <c r="AS41" s="34"/>
      <c r="AT41" s="34"/>
      <c r="AU41" s="34"/>
      <c r="AV41" s="34"/>
      <c r="AW41" s="34"/>
      <c r="AX41" s="34"/>
      <c r="AY41" s="34"/>
      <c r="AZ41" s="34"/>
      <c r="BA41" s="34"/>
    </row>
    <row r="42" spans="1:53" ht="12.75">
      <c r="A42" s="34"/>
      <c r="B42" s="34"/>
      <c r="C42" s="34"/>
      <c r="D42" s="39" t="s">
        <v>43</v>
      </c>
      <c r="E42" s="40"/>
      <c r="F42" s="40"/>
      <c r="G42" s="40"/>
      <c r="H42" s="40"/>
      <c r="I42" s="41">
        <f t="shared" si="10"/>
        <v>3.563243243243243</v>
      </c>
      <c r="J42" s="42">
        <f t="shared" si="10"/>
        <v>-0.7421621621621621</v>
      </c>
      <c r="K42" s="72"/>
      <c r="L42" s="40"/>
      <c r="M42" s="40"/>
      <c r="N42" s="41">
        <f>IF(gleisig=2,I42-$I$43,"1-gleisig")</f>
        <v>5.813243243243242</v>
      </c>
      <c r="O42" s="41">
        <f>IF(gleisig=2,J42-$J$43,"1-gleisig")</f>
        <v>-0.2906621621621622</v>
      </c>
      <c r="P42" s="100"/>
      <c r="Q42" s="34"/>
      <c r="R42" s="34"/>
      <c r="S42" s="34"/>
      <c r="T42" s="34"/>
      <c r="U42" s="34"/>
      <c r="V42" s="34"/>
      <c r="W42" s="77"/>
      <c r="X42" s="40"/>
      <c r="Y42" s="40"/>
      <c r="Z42" s="40"/>
      <c r="AA42" s="40" t="s">
        <v>74</v>
      </c>
      <c r="AB42" s="40"/>
      <c r="AC42" s="40"/>
      <c r="AD42" s="40"/>
      <c r="AE42" s="40"/>
      <c r="AF42" s="40"/>
      <c r="AG42" s="40"/>
      <c r="AH42" s="40"/>
      <c r="AI42" s="40"/>
      <c r="AJ42" s="40"/>
      <c r="AK42" s="40"/>
      <c r="AL42" s="78"/>
      <c r="AM42" s="91" t="s">
        <v>72</v>
      </c>
      <c r="AN42" s="79">
        <f>AN38</f>
        <v>-0.9500000000000001</v>
      </c>
      <c r="AO42" s="79">
        <f>AO38</f>
        <v>0</v>
      </c>
      <c r="AP42" s="79">
        <f>AN42*AO43</f>
        <v>0</v>
      </c>
      <c r="AQ42" s="79">
        <f>AN43*AO42</f>
        <v>0</v>
      </c>
      <c r="AR42" s="79">
        <f>AP42-AQ42</f>
        <v>0</v>
      </c>
      <c r="AS42" s="34"/>
      <c r="AT42" s="34"/>
      <c r="AU42" s="34"/>
      <c r="AV42" s="34"/>
      <c r="AW42" s="34"/>
      <c r="AX42" s="34"/>
      <c r="AY42" s="34"/>
      <c r="AZ42" s="34"/>
      <c r="BA42" s="34"/>
    </row>
    <row r="43" spans="1:53" ht="13.5" thickBot="1">
      <c r="A43" s="34"/>
      <c r="B43" s="34"/>
      <c r="C43" s="34"/>
      <c r="D43" s="39" t="s">
        <v>59</v>
      </c>
      <c r="E43" s="40"/>
      <c r="F43" s="40"/>
      <c r="G43" s="40"/>
      <c r="H43" s="40"/>
      <c r="I43" s="41">
        <f t="shared" si="10"/>
        <v>-2.25</v>
      </c>
      <c r="J43" s="42">
        <f t="shared" si="10"/>
        <v>-0.45149999999999996</v>
      </c>
      <c r="K43" s="72"/>
      <c r="L43" s="40"/>
      <c r="M43" s="40"/>
      <c r="N43" s="41">
        <f>IF(gleisig=2,0,"1-gleisig")</f>
        <v>0</v>
      </c>
      <c r="O43" s="41">
        <f>IF(gleisig=2,0,"1-gleisig")</f>
        <v>0</v>
      </c>
      <c r="P43" s="100"/>
      <c r="Q43" s="34" t="s">
        <v>25</v>
      </c>
      <c r="R43" s="34"/>
      <c r="S43" s="34"/>
      <c r="T43" s="34"/>
      <c r="U43" s="34"/>
      <c r="V43" s="34"/>
      <c r="W43" s="77"/>
      <c r="X43" s="40"/>
      <c r="Y43" s="40"/>
      <c r="Z43" s="40"/>
      <c r="AA43" s="90" t="s">
        <v>30</v>
      </c>
      <c r="AB43" s="90" t="s">
        <v>46</v>
      </c>
      <c r="AC43" s="90" t="s">
        <v>47</v>
      </c>
      <c r="AD43" s="90" t="s">
        <v>78</v>
      </c>
      <c r="AE43" s="90" t="s">
        <v>77</v>
      </c>
      <c r="AF43" s="40"/>
      <c r="AG43" s="40"/>
      <c r="AH43" s="40"/>
      <c r="AI43" s="40"/>
      <c r="AJ43" s="40"/>
      <c r="AK43" s="40"/>
      <c r="AL43" s="78"/>
      <c r="AM43" s="60" t="s">
        <v>105</v>
      </c>
      <c r="AN43" s="60"/>
      <c r="AO43" s="60"/>
      <c r="AP43" s="60"/>
      <c r="AQ43" s="60"/>
      <c r="AR43" s="96">
        <f>SUM(AR38:AR42)/2</f>
        <v>-2.6133409176618474</v>
      </c>
      <c r="AS43" s="60" t="s">
        <v>21</v>
      </c>
      <c r="AT43" s="34"/>
      <c r="AU43" s="34"/>
      <c r="AV43" s="34"/>
      <c r="AW43" s="34"/>
      <c r="AX43" s="34"/>
      <c r="AY43" s="34"/>
      <c r="AZ43" s="34"/>
      <c r="BA43" s="34"/>
    </row>
    <row r="44" spans="1:53" ht="12.75">
      <c r="A44" s="34"/>
      <c r="B44" s="34"/>
      <c r="C44" s="34"/>
      <c r="D44" s="39" t="s">
        <v>37</v>
      </c>
      <c r="E44" s="40"/>
      <c r="F44" s="40"/>
      <c r="G44" s="40"/>
      <c r="H44" s="40"/>
      <c r="I44" s="41">
        <f t="shared" si="10"/>
        <v>-8.063243243243244</v>
      </c>
      <c r="J44" s="42">
        <f t="shared" si="10"/>
        <v>-0.7421621621621622</v>
      </c>
      <c r="K44" s="72"/>
      <c r="L44" s="40"/>
      <c r="M44" s="40"/>
      <c r="N44" s="41">
        <f>IF(gleisig=2,I44-$I$43,"1-gleisig")</f>
        <v>-5.813243243243244</v>
      </c>
      <c r="O44" s="41">
        <f>IF(gleisig=2,J44-$J$43,"1-gleisig")</f>
        <v>-0.2906621621621623</v>
      </c>
      <c r="P44" s="100"/>
      <c r="Q44" s="34"/>
      <c r="R44" s="34"/>
      <c r="S44" s="103"/>
      <c r="T44" s="84">
        <v>0.6</v>
      </c>
      <c r="U44" s="85" t="s">
        <v>2</v>
      </c>
      <c r="V44" s="34"/>
      <c r="W44" s="77"/>
      <c r="X44" s="40"/>
      <c r="Y44" s="40"/>
      <c r="Z44" s="40"/>
      <c r="AA44" s="90" t="s">
        <v>33</v>
      </c>
      <c r="AB44" s="41">
        <f>AH22</f>
        <v>-3.5500000000000003</v>
      </c>
      <c r="AC44" s="41">
        <f>AI22</f>
        <v>0</v>
      </c>
      <c r="AD44" s="40">
        <f aca="true" t="shared" si="11" ref="AD44:AD49">AB44*AC45</f>
        <v>0</v>
      </c>
      <c r="AE44" s="40">
        <f aca="true" t="shared" si="12" ref="AE44:AE49">AB45*AC44</f>
        <v>0</v>
      </c>
      <c r="AF44" s="40">
        <f aca="true" t="shared" si="13" ref="AF44:AF49">AD44-AE44</f>
        <v>0</v>
      </c>
      <c r="AG44" s="40"/>
      <c r="AH44" s="40"/>
      <c r="AI44" s="40"/>
      <c r="AJ44" s="40"/>
      <c r="AK44" s="40"/>
      <c r="AL44" s="78"/>
      <c r="AM44" s="34" t="s">
        <v>115</v>
      </c>
      <c r="AN44" s="34"/>
      <c r="AO44" s="79">
        <f>-X15*AN41+AC27</f>
        <v>-0.48046511627906974</v>
      </c>
      <c r="AP44" s="34"/>
      <c r="AQ44" s="34"/>
      <c r="AR44" s="34" t="s">
        <v>116</v>
      </c>
      <c r="AS44" s="34"/>
      <c r="AT44" s="34"/>
      <c r="AU44" s="34"/>
      <c r="AV44" s="34"/>
      <c r="AW44" s="34"/>
      <c r="AX44" s="34"/>
      <c r="AY44" s="34"/>
      <c r="AZ44" s="34"/>
      <c r="BA44" s="34"/>
    </row>
    <row r="45" spans="1:53" ht="12.75">
      <c r="A45" s="34"/>
      <c r="B45" s="34"/>
      <c r="C45" s="34"/>
      <c r="D45" s="39" t="s">
        <v>38</v>
      </c>
      <c r="E45" s="40"/>
      <c r="F45" s="40"/>
      <c r="G45" s="40"/>
      <c r="H45" s="40"/>
      <c r="I45" s="41">
        <f t="shared" si="10"/>
        <v>-6.95</v>
      </c>
      <c r="J45" s="42">
        <f t="shared" si="10"/>
        <v>0</v>
      </c>
      <c r="K45" s="72"/>
      <c r="L45" s="40"/>
      <c r="M45" s="40"/>
      <c r="N45" s="41">
        <f>IF(gleisig=2,I45-$I$43,"1-gleisig")</f>
        <v>-4.7</v>
      </c>
      <c r="O45" s="41">
        <f>IF(gleisig=2,J45-$J$43,"1-gleisig")</f>
        <v>0.45149999999999996</v>
      </c>
      <c r="P45" s="100"/>
      <c r="Q45" s="34"/>
      <c r="R45" s="34"/>
      <c r="S45" s="77"/>
      <c r="T45" s="87">
        <v>0.63</v>
      </c>
      <c r="U45" s="78" t="s">
        <v>2</v>
      </c>
      <c r="V45" s="34"/>
      <c r="W45" s="77"/>
      <c r="X45" s="40"/>
      <c r="Y45" s="40"/>
      <c r="Z45" s="40"/>
      <c r="AA45" s="90" t="s">
        <v>34</v>
      </c>
      <c r="AB45" s="41">
        <f>((AB44-X38)/2)+X38</f>
        <v>-2.25</v>
      </c>
      <c r="AC45" s="41">
        <f>((AC44-Y38)/2)+Y38</f>
        <v>0</v>
      </c>
      <c r="AD45" s="40">
        <f t="shared" si="11"/>
        <v>1.0158749999999999</v>
      </c>
      <c r="AE45" s="40">
        <f t="shared" si="12"/>
        <v>0</v>
      </c>
      <c r="AF45" s="40">
        <f t="shared" si="13"/>
        <v>1.0158749999999999</v>
      </c>
      <c r="AG45" s="40"/>
      <c r="AH45" s="40"/>
      <c r="AI45" s="40"/>
      <c r="AJ45" s="40"/>
      <c r="AK45" s="40"/>
      <c r="AL45" s="78"/>
      <c r="AM45" s="34"/>
      <c r="AN45" s="34"/>
      <c r="AO45" s="34"/>
      <c r="AP45" s="34"/>
      <c r="AQ45" s="34"/>
      <c r="AR45" s="34" t="s">
        <v>117</v>
      </c>
      <c r="AS45" s="34"/>
      <c r="AT45" s="34"/>
      <c r="AU45" s="34"/>
      <c r="AV45" s="34"/>
      <c r="AW45" s="34"/>
      <c r="AX45" s="34"/>
      <c r="AY45" s="34"/>
      <c r="AZ45" s="34"/>
      <c r="BA45" s="34"/>
    </row>
    <row r="46" spans="1:53" ht="12.75">
      <c r="A46" s="34"/>
      <c r="B46" s="34"/>
      <c r="C46" s="34"/>
      <c r="D46" s="39" t="s">
        <v>33</v>
      </c>
      <c r="E46" s="40"/>
      <c r="F46" s="40"/>
      <c r="G46" s="40"/>
      <c r="H46" s="40"/>
      <c r="I46" s="41">
        <f t="shared" si="10"/>
        <v>-3.5500000000000003</v>
      </c>
      <c r="J46" s="42">
        <f t="shared" si="10"/>
        <v>0</v>
      </c>
      <c r="K46" s="72"/>
      <c r="L46" s="40"/>
      <c r="M46" s="40"/>
      <c r="N46" s="41">
        <f>IF(gleisig=2,I46-$I$43,"1-gleisig")</f>
        <v>-1.3000000000000003</v>
      </c>
      <c r="O46" s="41">
        <f>IF(gleisig=2,J46-$J$43,"1-gleisig")</f>
        <v>0.45149999999999996</v>
      </c>
      <c r="P46" s="100"/>
      <c r="Q46" s="34"/>
      <c r="R46" s="34"/>
      <c r="S46" s="77"/>
      <c r="T46" s="87">
        <v>0.65</v>
      </c>
      <c r="U46" s="78" t="s">
        <v>2</v>
      </c>
      <c r="V46" s="34"/>
      <c r="W46" s="77"/>
      <c r="X46" s="40"/>
      <c r="Y46" s="40"/>
      <c r="Z46" s="40"/>
      <c r="AA46" s="90" t="s">
        <v>35</v>
      </c>
      <c r="AB46" s="41">
        <f>X36</f>
        <v>-2.25</v>
      </c>
      <c r="AC46" s="41">
        <f>Y36</f>
        <v>-0.45149999999999996</v>
      </c>
      <c r="AD46" s="40">
        <f t="shared" si="11"/>
        <v>1.669864864864865</v>
      </c>
      <c r="AE46" s="40">
        <f t="shared" si="12"/>
        <v>3.6405543243243246</v>
      </c>
      <c r="AF46" s="40">
        <f t="shared" si="13"/>
        <v>-1.9706894594594595</v>
      </c>
      <c r="AG46" s="40"/>
      <c r="AH46" s="40"/>
      <c r="AI46" s="40"/>
      <c r="AJ46" s="40"/>
      <c r="AK46" s="40"/>
      <c r="AL46" s="78"/>
      <c r="AM46" s="34"/>
      <c r="AN46" s="34"/>
      <c r="AO46" s="34"/>
      <c r="AP46" s="34"/>
      <c r="AQ46" s="34"/>
      <c r="AR46" s="34"/>
      <c r="AS46" s="34"/>
      <c r="AT46" s="34"/>
      <c r="AU46" s="34"/>
      <c r="AV46" s="34"/>
      <c r="AW46" s="34"/>
      <c r="AX46" s="34"/>
      <c r="AY46" s="34"/>
      <c r="AZ46" s="34"/>
      <c r="BA46" s="34"/>
    </row>
    <row r="47" spans="1:53" ht="12.75">
      <c r="A47" s="34"/>
      <c r="B47" s="34"/>
      <c r="C47" s="34"/>
      <c r="D47" s="43" t="s">
        <v>72</v>
      </c>
      <c r="E47" s="44"/>
      <c r="F47" s="44"/>
      <c r="G47" s="44"/>
      <c r="H47" s="44"/>
      <c r="I47" s="45">
        <f t="shared" si="10"/>
        <v>-0.9500000000000001</v>
      </c>
      <c r="J47" s="46">
        <f t="shared" si="10"/>
        <v>0</v>
      </c>
      <c r="K47" s="73"/>
      <c r="L47" s="44"/>
      <c r="M47" s="44"/>
      <c r="N47" s="45">
        <f>IF(gleisig=2,I47-$I$43,"1-gleisig")</f>
        <v>1.2999999999999998</v>
      </c>
      <c r="O47" s="45">
        <f>IF(gleisig=2,J47-$J$43,"1-gleisig")</f>
        <v>0.45149999999999996</v>
      </c>
      <c r="P47" s="104"/>
      <c r="Q47" s="34"/>
      <c r="R47" s="34"/>
      <c r="S47" s="77"/>
      <c r="T47" s="87">
        <v>0.67</v>
      </c>
      <c r="U47" s="78" t="s">
        <v>2</v>
      </c>
      <c r="V47" s="34"/>
      <c r="W47" s="77"/>
      <c r="X47" s="40"/>
      <c r="Y47" s="40"/>
      <c r="Z47" s="40"/>
      <c r="AA47" s="90" t="s">
        <v>37</v>
      </c>
      <c r="AB47" s="41">
        <f>AH26</f>
        <v>-8.063243243243244</v>
      </c>
      <c r="AC47" s="41">
        <f>AI26</f>
        <v>-0.7421621621621622</v>
      </c>
      <c r="AD47" s="40">
        <f t="shared" si="11"/>
        <v>0</v>
      </c>
      <c r="AE47" s="40">
        <f t="shared" si="12"/>
        <v>5.158027027027027</v>
      </c>
      <c r="AF47" s="40">
        <f t="shared" si="13"/>
        <v>-5.158027027027027</v>
      </c>
      <c r="AG47" s="40"/>
      <c r="AH47" s="40"/>
      <c r="AI47" s="40"/>
      <c r="AJ47" s="40"/>
      <c r="AK47" s="40"/>
      <c r="AL47" s="78"/>
      <c r="AM47" s="34"/>
      <c r="AN47" s="34"/>
      <c r="AO47" s="34"/>
      <c r="AP47" s="34"/>
      <c r="AQ47" s="34"/>
      <c r="AR47" s="34"/>
      <c r="AS47" s="34"/>
      <c r="AT47" s="34"/>
      <c r="AU47" s="34"/>
      <c r="AV47" s="34"/>
      <c r="AW47" s="34"/>
      <c r="AX47" s="34"/>
      <c r="AY47" s="34"/>
      <c r="AZ47" s="34"/>
      <c r="BA47" s="34"/>
    </row>
    <row r="48" spans="1:53" ht="4.5" customHeight="1">
      <c r="A48" s="34"/>
      <c r="B48" s="34"/>
      <c r="C48" s="34"/>
      <c r="D48" s="47"/>
      <c r="E48" s="40"/>
      <c r="F48" s="40"/>
      <c r="G48" s="40"/>
      <c r="H48" s="40"/>
      <c r="I48" s="41"/>
      <c r="J48" s="41"/>
      <c r="K48" s="34"/>
      <c r="L48" s="34"/>
      <c r="M48" s="34"/>
      <c r="N48" s="34"/>
      <c r="O48" s="34"/>
      <c r="P48" s="34"/>
      <c r="Q48" s="34"/>
      <c r="R48" s="34"/>
      <c r="S48" s="77"/>
      <c r="T48" s="87">
        <v>0.7</v>
      </c>
      <c r="U48" s="78" t="s">
        <v>2</v>
      </c>
      <c r="V48" s="34"/>
      <c r="W48" s="77"/>
      <c r="X48" s="40"/>
      <c r="Y48" s="40"/>
      <c r="Z48" s="40"/>
      <c r="AA48" s="90" t="s">
        <v>38</v>
      </c>
      <c r="AB48" s="41">
        <f>AH27</f>
        <v>-6.95</v>
      </c>
      <c r="AC48" s="41">
        <f>AI27</f>
        <v>0</v>
      </c>
      <c r="AD48" s="40">
        <f t="shared" si="11"/>
        <v>0</v>
      </c>
      <c r="AE48" s="40">
        <f t="shared" si="12"/>
        <v>0</v>
      </c>
      <c r="AF48" s="40">
        <f t="shared" si="13"/>
        <v>0</v>
      </c>
      <c r="AG48" s="40"/>
      <c r="AH48" s="40"/>
      <c r="AI48" s="40"/>
      <c r="AJ48" s="40"/>
      <c r="AK48" s="40"/>
      <c r="AL48" s="78"/>
      <c r="AM48" s="34"/>
      <c r="AN48" s="34"/>
      <c r="AO48" s="34"/>
      <c r="AP48" s="34"/>
      <c r="AQ48" s="34"/>
      <c r="AR48" s="34"/>
      <c r="AS48" s="34"/>
      <c r="AT48" s="34"/>
      <c r="AU48" s="34"/>
      <c r="AV48" s="34"/>
      <c r="AW48" s="34"/>
      <c r="AX48" s="34"/>
      <c r="AY48" s="34"/>
      <c r="AZ48" s="34"/>
      <c r="BA48" s="34"/>
    </row>
    <row r="49" spans="1:53" ht="13.5" thickBot="1">
      <c r="A49" s="34" t="s">
        <v>131</v>
      </c>
      <c r="B49" s="34"/>
      <c r="C49" s="34"/>
      <c r="D49" s="48" t="s">
        <v>30</v>
      </c>
      <c r="E49" s="37"/>
      <c r="F49" s="37"/>
      <c r="G49" s="36"/>
      <c r="H49" s="36"/>
      <c r="I49" s="37" t="s">
        <v>128</v>
      </c>
      <c r="J49" s="38" t="s">
        <v>129</v>
      </c>
      <c r="K49" s="35"/>
      <c r="L49" s="36"/>
      <c r="M49" s="36"/>
      <c r="N49" s="71" t="s">
        <v>135</v>
      </c>
      <c r="O49" s="74" t="s">
        <v>136</v>
      </c>
      <c r="P49" s="99"/>
      <c r="Q49" s="34"/>
      <c r="R49" s="34"/>
      <c r="S49" s="105"/>
      <c r="T49" s="94"/>
      <c r="U49" s="95" t="s">
        <v>2</v>
      </c>
      <c r="V49" s="34"/>
      <c r="W49" s="77"/>
      <c r="X49" s="40"/>
      <c r="Y49" s="40"/>
      <c r="Z49" s="40"/>
      <c r="AA49" s="90" t="s">
        <v>33</v>
      </c>
      <c r="AB49" s="41">
        <f>AH22</f>
        <v>-3.5500000000000003</v>
      </c>
      <c r="AC49" s="41">
        <f>AI22</f>
        <v>0</v>
      </c>
      <c r="AD49" s="40">
        <f t="shared" si="11"/>
        <v>0</v>
      </c>
      <c r="AE49" s="40">
        <f t="shared" si="12"/>
        <v>0</v>
      </c>
      <c r="AF49" s="40">
        <f t="shared" si="13"/>
        <v>0</v>
      </c>
      <c r="AG49" s="40"/>
      <c r="AH49" s="40"/>
      <c r="AI49" s="40"/>
      <c r="AJ49" s="40"/>
      <c r="AK49" s="40"/>
      <c r="AL49" s="78"/>
      <c r="AM49" s="34"/>
      <c r="AN49" s="34"/>
      <c r="AO49" s="34"/>
      <c r="AP49" s="34"/>
      <c r="AQ49" s="34"/>
      <c r="AR49" s="34"/>
      <c r="AS49" s="34"/>
      <c r="AT49" s="34"/>
      <c r="AU49" s="34"/>
      <c r="AV49" s="34"/>
      <c r="AW49" s="34"/>
      <c r="AX49" s="34"/>
      <c r="AY49" s="34"/>
      <c r="AZ49" s="34"/>
      <c r="BA49" s="34"/>
    </row>
    <row r="50" spans="1:53" ht="12.75">
      <c r="A50" s="34" t="s">
        <v>144</v>
      </c>
      <c r="B50" s="34"/>
      <c r="C50" s="34"/>
      <c r="D50" s="39" t="s">
        <v>32</v>
      </c>
      <c r="E50" s="41"/>
      <c r="F50" s="41"/>
      <c r="G50" s="40"/>
      <c r="H50" s="40"/>
      <c r="I50" s="41" t="str">
        <f aca="true" t="shared" si="14" ref="I50:J55">IF(gleisig=1,IF($AS$34&gt;=$AS$33,AN21,"u&lt;80"),"2-gleisig")</f>
        <v>2-gleisig</v>
      </c>
      <c r="J50" s="42" t="str">
        <f t="shared" si="14"/>
        <v>2-gleisig</v>
      </c>
      <c r="K50" s="72"/>
      <c r="L50" s="40"/>
      <c r="M50" s="40"/>
      <c r="N50" s="41" t="str">
        <f aca="true" t="shared" si="15" ref="N50:N55">IF(gleisig=1,IF($AS$34&gt;=$AS$33,I50-$AN$6,"u&lt;80"),"2-gleisig")</f>
        <v>2-gleisig</v>
      </c>
      <c r="O50" s="41" t="str">
        <f>IF(gleisig=1,IF($AS$34&gt;=$AS$33,J50-$J$52,"u&lt;80"),"2-gleisig")</f>
        <v>2-gleisig</v>
      </c>
      <c r="P50" s="100"/>
      <c r="Q50" s="34"/>
      <c r="R50" s="34"/>
      <c r="S50" s="34"/>
      <c r="T50" s="34"/>
      <c r="U50" s="34"/>
      <c r="V50" s="34"/>
      <c r="W50" s="77"/>
      <c r="X50" s="40"/>
      <c r="Y50" s="40"/>
      <c r="Z50" s="40"/>
      <c r="AA50" s="90" t="s">
        <v>79</v>
      </c>
      <c r="AB50" s="82"/>
      <c r="AC50" s="82"/>
      <c r="AD50" s="82"/>
      <c r="AE50" s="82"/>
      <c r="AF50" s="82">
        <f>SUM(AF44:AF49)/2</f>
        <v>-3.0564207432432435</v>
      </c>
      <c r="AG50" s="40" t="s">
        <v>21</v>
      </c>
      <c r="AH50" s="40"/>
      <c r="AI50" s="40"/>
      <c r="AJ50" s="40"/>
      <c r="AK50" s="40"/>
      <c r="AL50" s="78"/>
      <c r="AM50" s="34"/>
      <c r="AN50" s="34"/>
      <c r="AO50" s="34"/>
      <c r="AP50" s="34"/>
      <c r="AQ50" s="34"/>
      <c r="AR50" s="34"/>
      <c r="AS50" s="34"/>
      <c r="AT50" s="34"/>
      <c r="AU50" s="34"/>
      <c r="AV50" s="34"/>
      <c r="AW50" s="34"/>
      <c r="AX50" s="34"/>
      <c r="AY50" s="34"/>
      <c r="AZ50" s="34"/>
      <c r="BA50" s="34"/>
    </row>
    <row r="51" spans="1:53" ht="12.75">
      <c r="A51" s="34"/>
      <c r="B51" s="34"/>
      <c r="C51" s="34"/>
      <c r="D51" s="39" t="s">
        <v>33</v>
      </c>
      <c r="E51" s="41"/>
      <c r="F51" s="41"/>
      <c r="G51" s="40"/>
      <c r="H51" s="40"/>
      <c r="I51" s="41" t="str">
        <f t="shared" si="14"/>
        <v>2-gleisig</v>
      </c>
      <c r="J51" s="42" t="str">
        <f t="shared" si="14"/>
        <v>2-gleisig</v>
      </c>
      <c r="K51" s="72"/>
      <c r="L51" s="40"/>
      <c r="M51" s="40"/>
      <c r="N51" s="41" t="str">
        <f t="shared" si="15"/>
        <v>2-gleisig</v>
      </c>
      <c r="O51" s="41" t="str">
        <f>IF(gleisig=1,IF($AS$34&gt;=$AS$33,J51-$J$52,"u&lt;80"),"2-gleisig")</f>
        <v>2-gleisig</v>
      </c>
      <c r="P51" s="100"/>
      <c r="Q51" s="34"/>
      <c r="R51" s="34"/>
      <c r="S51" s="34"/>
      <c r="T51" s="34"/>
      <c r="U51" s="34"/>
      <c r="V51" s="34"/>
      <c r="W51" s="77"/>
      <c r="X51" s="40"/>
      <c r="Y51" s="40"/>
      <c r="Z51" s="40"/>
      <c r="AA51" s="40"/>
      <c r="AB51" s="40"/>
      <c r="AC51" s="40"/>
      <c r="AD51" s="40"/>
      <c r="AE51" s="40"/>
      <c r="AF51" s="40"/>
      <c r="AG51" s="40"/>
      <c r="AH51" s="40"/>
      <c r="AI51" s="40"/>
      <c r="AJ51" s="40"/>
      <c r="AK51" s="40"/>
      <c r="AL51" s="78"/>
      <c r="AM51" s="34"/>
      <c r="AN51" s="34"/>
      <c r="AO51" s="34"/>
      <c r="AP51" s="34"/>
      <c r="AQ51" s="34"/>
      <c r="AR51" s="34"/>
      <c r="AS51" s="34"/>
      <c r="AT51" s="34"/>
      <c r="AU51" s="34"/>
      <c r="AV51" s="34"/>
      <c r="AW51" s="34"/>
      <c r="AX51" s="34"/>
      <c r="AY51" s="34"/>
      <c r="AZ51" s="34"/>
      <c r="BA51" s="34"/>
    </row>
    <row r="52" spans="1:53" ht="13.5" thickBot="1">
      <c r="A52" s="34"/>
      <c r="B52" s="34"/>
      <c r="C52" s="34"/>
      <c r="D52" s="39" t="s">
        <v>100</v>
      </c>
      <c r="E52" s="41"/>
      <c r="F52" s="41"/>
      <c r="G52" s="40"/>
      <c r="H52" s="40"/>
      <c r="I52" s="41" t="str">
        <f t="shared" si="14"/>
        <v>2-gleisig</v>
      </c>
      <c r="J52" s="42" t="str">
        <f t="shared" si="14"/>
        <v>2-gleisig</v>
      </c>
      <c r="K52" s="72"/>
      <c r="L52" s="40"/>
      <c r="M52" s="40"/>
      <c r="N52" s="41" t="str">
        <f t="shared" si="15"/>
        <v>2-gleisig</v>
      </c>
      <c r="O52" s="41" t="str">
        <f>IF(gleisig=1,IF($AS$34&gt;=$AS$33,0,"u&lt;80"),"2-gleisig")</f>
        <v>2-gleisig</v>
      </c>
      <c r="P52" s="100"/>
      <c r="Q52" s="34" t="s">
        <v>26</v>
      </c>
      <c r="R52" s="34"/>
      <c r="S52" s="34"/>
      <c r="T52" s="34"/>
      <c r="U52" s="34"/>
      <c r="V52" s="34"/>
      <c r="W52" s="77"/>
      <c r="X52" s="40"/>
      <c r="Y52" s="40"/>
      <c r="Z52" s="40"/>
      <c r="AA52" s="40" t="s">
        <v>75</v>
      </c>
      <c r="AB52" s="40"/>
      <c r="AC52" s="40"/>
      <c r="AD52" s="40"/>
      <c r="AE52" s="40"/>
      <c r="AF52" s="40"/>
      <c r="AG52" s="40"/>
      <c r="AH52" s="40"/>
      <c r="AI52" s="40"/>
      <c r="AJ52" s="40"/>
      <c r="AK52" s="40"/>
      <c r="AL52" s="78"/>
      <c r="AM52" s="34"/>
      <c r="AN52" s="34"/>
      <c r="AO52" s="34"/>
      <c r="AP52" s="34"/>
      <c r="AQ52" s="34"/>
      <c r="AR52" s="34"/>
      <c r="AS52" s="34"/>
      <c r="AT52" s="34"/>
      <c r="AU52" s="34"/>
      <c r="AV52" s="34"/>
      <c r="AW52" s="34"/>
      <c r="AX52" s="34"/>
      <c r="AY52" s="34"/>
      <c r="AZ52" s="34"/>
      <c r="BA52" s="34"/>
    </row>
    <row r="53" spans="1:53" ht="12.75">
      <c r="A53" s="34"/>
      <c r="B53" s="34"/>
      <c r="C53" s="34"/>
      <c r="D53" s="39" t="s">
        <v>36</v>
      </c>
      <c r="E53" s="41"/>
      <c r="F53" s="41"/>
      <c r="G53" s="40"/>
      <c r="H53" s="40"/>
      <c r="I53" s="41" t="str">
        <f t="shared" si="14"/>
        <v>2-gleisig</v>
      </c>
      <c r="J53" s="42" t="str">
        <f t="shared" si="14"/>
        <v>2-gleisig</v>
      </c>
      <c r="K53" s="72"/>
      <c r="L53" s="40"/>
      <c r="M53" s="40"/>
      <c r="N53" s="41" t="str">
        <f t="shared" si="15"/>
        <v>2-gleisig</v>
      </c>
      <c r="O53" s="41" t="str">
        <f>IF(gleisig=1,IF($AS$34&gt;=$AS$33,J53-$J$52,"u&lt;80"),"2-gleisig")</f>
        <v>2-gleisig</v>
      </c>
      <c r="P53" s="100"/>
      <c r="Q53" s="34"/>
      <c r="R53" s="34"/>
      <c r="S53" s="103"/>
      <c r="T53" s="84">
        <v>0.2</v>
      </c>
      <c r="U53" s="85" t="s">
        <v>2</v>
      </c>
      <c r="V53" s="34"/>
      <c r="W53" s="77"/>
      <c r="X53" s="40"/>
      <c r="Y53" s="40"/>
      <c r="Z53" s="40"/>
      <c r="AA53" s="90" t="s">
        <v>30</v>
      </c>
      <c r="AB53" s="90" t="s">
        <v>46</v>
      </c>
      <c r="AC53" s="90" t="s">
        <v>47</v>
      </c>
      <c r="AD53" s="90" t="s">
        <v>78</v>
      </c>
      <c r="AE53" s="90" t="s">
        <v>77</v>
      </c>
      <c r="AF53" s="40"/>
      <c r="AG53" s="40"/>
      <c r="AH53" s="40"/>
      <c r="AI53" s="40"/>
      <c r="AJ53" s="40"/>
      <c r="AK53" s="40"/>
      <c r="AL53" s="78"/>
      <c r="AM53" s="34"/>
      <c r="AN53" s="34"/>
      <c r="AO53" s="34"/>
      <c r="AP53" s="34"/>
      <c r="AQ53" s="34"/>
      <c r="AR53" s="34"/>
      <c r="AS53" s="34"/>
      <c r="AT53" s="34"/>
      <c r="AU53" s="34"/>
      <c r="AV53" s="34"/>
      <c r="AW53" s="34"/>
      <c r="AX53" s="34"/>
      <c r="AY53" s="34"/>
      <c r="AZ53" s="34"/>
      <c r="BA53" s="34"/>
    </row>
    <row r="54" spans="1:53" ht="12.75">
      <c r="A54" s="34"/>
      <c r="B54" s="34"/>
      <c r="C54" s="34"/>
      <c r="D54" s="39" t="s">
        <v>37</v>
      </c>
      <c r="E54" s="41"/>
      <c r="F54" s="41"/>
      <c r="G54" s="40"/>
      <c r="H54" s="40"/>
      <c r="I54" s="41" t="str">
        <f t="shared" si="14"/>
        <v>2-gleisig</v>
      </c>
      <c r="J54" s="42" t="str">
        <f t="shared" si="14"/>
        <v>2-gleisig</v>
      </c>
      <c r="K54" s="72"/>
      <c r="L54" s="40"/>
      <c r="M54" s="40"/>
      <c r="N54" s="41" t="str">
        <f t="shared" si="15"/>
        <v>2-gleisig</v>
      </c>
      <c r="O54" s="41" t="str">
        <f>IF(gleisig=1,IF($AS$34&gt;=$AS$33,J54-$J$52,"u&lt;80"),"2-gleisig")</f>
        <v>2-gleisig</v>
      </c>
      <c r="P54" s="100"/>
      <c r="Q54" s="34"/>
      <c r="R54" s="34"/>
      <c r="S54" s="77"/>
      <c r="T54" s="87">
        <v>0.25</v>
      </c>
      <c r="U54" s="78" t="s">
        <v>2</v>
      </c>
      <c r="V54" s="34"/>
      <c r="W54" s="77"/>
      <c r="X54" s="40"/>
      <c r="Y54" s="40"/>
      <c r="Z54" s="40"/>
      <c r="AA54" s="90" t="s">
        <v>70</v>
      </c>
      <c r="AB54" s="41">
        <f>X33</f>
        <v>2.4499999999999997</v>
      </c>
      <c r="AC54" s="41">
        <f>Y33</f>
        <v>0</v>
      </c>
      <c r="AD54" s="40">
        <f aca="true" t="shared" si="16" ref="AD54:AD59">AB54*AC55</f>
        <v>-1.818297297297297</v>
      </c>
      <c r="AE54" s="40">
        <f aca="true" t="shared" si="17" ref="AE54:AE59">AB55*AC54</f>
        <v>0</v>
      </c>
      <c r="AF54" s="40">
        <f aca="true" t="shared" si="18" ref="AF54:AF59">AD54-AE54</f>
        <v>-1.818297297297297</v>
      </c>
      <c r="AG54" s="40"/>
      <c r="AH54" s="40"/>
      <c r="AI54" s="40"/>
      <c r="AJ54" s="40"/>
      <c r="AK54" s="40"/>
      <c r="AL54" s="78"/>
      <c r="AM54" s="34"/>
      <c r="AN54" s="34"/>
      <c r="AO54" s="34"/>
      <c r="AP54" s="34"/>
      <c r="AQ54" s="34"/>
      <c r="AR54" s="34"/>
      <c r="AS54" s="34"/>
      <c r="AT54" s="34"/>
      <c r="AU54" s="34"/>
      <c r="AV54" s="34"/>
      <c r="AW54" s="34"/>
      <c r="AX54" s="34"/>
      <c r="AY54" s="34"/>
      <c r="AZ54" s="34"/>
      <c r="BA54" s="34"/>
    </row>
    <row r="55" spans="1:53" ht="12.75">
      <c r="A55" s="34"/>
      <c r="B55" s="34"/>
      <c r="C55" s="34"/>
      <c r="D55" s="39" t="s">
        <v>38</v>
      </c>
      <c r="E55" s="41"/>
      <c r="F55" s="41"/>
      <c r="G55" s="40"/>
      <c r="H55" s="40"/>
      <c r="I55" s="41" t="str">
        <f t="shared" si="14"/>
        <v>2-gleisig</v>
      </c>
      <c r="J55" s="42" t="str">
        <f t="shared" si="14"/>
        <v>2-gleisig</v>
      </c>
      <c r="K55" s="72"/>
      <c r="L55" s="40"/>
      <c r="M55" s="40"/>
      <c r="N55" s="41" t="str">
        <f t="shared" si="15"/>
        <v>2-gleisig</v>
      </c>
      <c r="O55" s="41" t="str">
        <f>IF(gleisig=1,IF($AS$34&gt;=$AS$33,J55-$J$52,"u&lt;80"),"2-gleisig")</f>
        <v>2-gleisig</v>
      </c>
      <c r="P55" s="100"/>
      <c r="Q55" s="34"/>
      <c r="R55" s="34"/>
      <c r="S55" s="77"/>
      <c r="T55" s="87">
        <v>0.3</v>
      </c>
      <c r="U55" s="78" t="s">
        <v>2</v>
      </c>
      <c r="V55" s="34"/>
      <c r="W55" s="77"/>
      <c r="X55" s="40"/>
      <c r="Y55" s="40"/>
      <c r="Z55" s="40"/>
      <c r="AA55" s="90" t="s">
        <v>43</v>
      </c>
      <c r="AB55" s="41">
        <f>X34</f>
        <v>3.563243243243243</v>
      </c>
      <c r="AC55" s="41">
        <f>Y34</f>
        <v>-0.7421621621621621</v>
      </c>
      <c r="AD55" s="40">
        <f t="shared" si="16"/>
        <v>-1.608804324324324</v>
      </c>
      <c r="AE55" s="40">
        <f t="shared" si="17"/>
        <v>1.6698648648648649</v>
      </c>
      <c r="AF55" s="40">
        <f t="shared" si="18"/>
        <v>-3.2786691891891886</v>
      </c>
      <c r="AG55" s="40"/>
      <c r="AH55" s="40"/>
      <c r="AI55" s="40"/>
      <c r="AJ55" s="40"/>
      <c r="AK55" s="40"/>
      <c r="AL55" s="78"/>
      <c r="AM55" s="34"/>
      <c r="AN55" s="34"/>
      <c r="AO55" s="34"/>
      <c r="AP55" s="34"/>
      <c r="AQ55" s="34"/>
      <c r="AR55" s="34"/>
      <c r="AS55" s="34"/>
      <c r="AT55" s="34"/>
      <c r="AU55" s="34"/>
      <c r="AV55" s="34"/>
      <c r="AW55" s="34"/>
      <c r="AX55" s="34"/>
      <c r="AY55" s="34"/>
      <c r="AZ55" s="34"/>
      <c r="BA55" s="34"/>
    </row>
    <row r="56" spans="1:53" ht="12" customHeight="1">
      <c r="A56" s="34"/>
      <c r="B56" s="34"/>
      <c r="C56" s="34"/>
      <c r="D56" s="43" t="s">
        <v>32</v>
      </c>
      <c r="E56" s="44"/>
      <c r="F56" s="44"/>
      <c r="G56" s="44"/>
      <c r="H56" s="44"/>
      <c r="I56" s="45" t="str">
        <f>I50</f>
        <v>2-gleisig</v>
      </c>
      <c r="J56" s="46" t="str">
        <f>J50</f>
        <v>2-gleisig</v>
      </c>
      <c r="K56" s="44"/>
      <c r="L56" s="44"/>
      <c r="M56" s="44"/>
      <c r="N56" s="45" t="str">
        <f>N50</f>
        <v>2-gleisig</v>
      </c>
      <c r="O56" s="45" t="str">
        <f>O50</f>
        <v>2-gleisig</v>
      </c>
      <c r="P56" s="104"/>
      <c r="Q56" s="34"/>
      <c r="R56" s="34"/>
      <c r="S56" s="77"/>
      <c r="T56" s="87">
        <v>0.35</v>
      </c>
      <c r="U56" s="78" t="s">
        <v>2</v>
      </c>
      <c r="V56" s="34"/>
      <c r="W56" s="77"/>
      <c r="X56" s="40"/>
      <c r="Y56" s="40"/>
      <c r="Z56" s="40"/>
      <c r="AA56" s="90" t="s">
        <v>71</v>
      </c>
      <c r="AB56" s="41">
        <f>X36</f>
        <v>-2.25</v>
      </c>
      <c r="AC56" s="41">
        <f>Y36</f>
        <v>-0.45149999999999996</v>
      </c>
      <c r="AD56" s="40">
        <f t="shared" si="16"/>
        <v>0</v>
      </c>
      <c r="AE56" s="40">
        <f t="shared" si="17"/>
        <v>1.0158749999999999</v>
      </c>
      <c r="AF56" s="40">
        <f t="shared" si="18"/>
        <v>-1.0158749999999999</v>
      </c>
      <c r="AG56" s="40"/>
      <c r="AH56" s="40"/>
      <c r="AI56" s="40"/>
      <c r="AJ56" s="40"/>
      <c r="AK56" s="40"/>
      <c r="AL56" s="78"/>
      <c r="AM56" s="34"/>
      <c r="AN56" s="34"/>
      <c r="AO56" s="34"/>
      <c r="AP56" s="34"/>
      <c r="AQ56" s="34"/>
      <c r="AR56" s="34"/>
      <c r="AS56" s="34"/>
      <c r="AT56" s="34"/>
      <c r="AU56" s="34"/>
      <c r="AV56" s="34"/>
      <c r="AW56" s="34"/>
      <c r="AX56" s="34"/>
      <c r="AY56" s="34"/>
      <c r="AZ56" s="34"/>
      <c r="BA56" s="34"/>
    </row>
    <row r="57" spans="1:53" ht="12.75">
      <c r="A57" s="34"/>
      <c r="B57" s="34"/>
      <c r="C57" s="34"/>
      <c r="D57" s="34"/>
      <c r="E57" s="34"/>
      <c r="F57" s="34"/>
      <c r="G57" s="34"/>
      <c r="H57" s="34"/>
      <c r="I57" s="34"/>
      <c r="J57" s="34"/>
      <c r="K57" s="40"/>
      <c r="L57" s="40"/>
      <c r="M57" s="40"/>
      <c r="N57" s="41"/>
      <c r="O57" s="41"/>
      <c r="P57" s="100"/>
      <c r="Q57" s="34"/>
      <c r="R57" s="34"/>
      <c r="S57" s="77"/>
      <c r="T57" s="87">
        <v>0.4</v>
      </c>
      <c r="U57" s="78" t="s">
        <v>2</v>
      </c>
      <c r="V57" s="34"/>
      <c r="W57" s="77"/>
      <c r="X57" s="40"/>
      <c r="Y57" s="40"/>
      <c r="Z57" s="40"/>
      <c r="AA57" s="90" t="s">
        <v>76</v>
      </c>
      <c r="AB57" s="41">
        <f>((AB44-X38)/2)+X38</f>
        <v>-2.25</v>
      </c>
      <c r="AC57" s="41">
        <f>((AC44-Y38)/2)+Y38</f>
        <v>0</v>
      </c>
      <c r="AD57" s="40">
        <f t="shared" si="16"/>
        <v>0</v>
      </c>
      <c r="AE57" s="40">
        <f t="shared" si="17"/>
        <v>0</v>
      </c>
      <c r="AF57" s="40">
        <f t="shared" si="18"/>
        <v>0</v>
      </c>
      <c r="AG57" s="40"/>
      <c r="AH57" s="40"/>
      <c r="AI57" s="40"/>
      <c r="AJ57" s="40"/>
      <c r="AK57" s="40"/>
      <c r="AL57" s="78"/>
      <c r="AM57" s="34"/>
      <c r="AN57" s="34"/>
      <c r="AO57" s="34"/>
      <c r="AP57" s="34"/>
      <c r="AQ57" s="34"/>
      <c r="AR57" s="34"/>
      <c r="AS57" s="34"/>
      <c r="AT57" s="34"/>
      <c r="AU57" s="34"/>
      <c r="AV57" s="34"/>
      <c r="AW57" s="34"/>
      <c r="AX57" s="34"/>
      <c r="AY57" s="34"/>
      <c r="AZ57" s="34"/>
      <c r="BA57" s="34"/>
    </row>
    <row r="58" spans="1:53" ht="13.5" thickBot="1">
      <c r="A58" s="34" t="s">
        <v>131</v>
      </c>
      <c r="B58" s="34"/>
      <c r="C58" s="34"/>
      <c r="D58" s="48" t="s">
        <v>30</v>
      </c>
      <c r="E58" s="37"/>
      <c r="F58" s="37"/>
      <c r="G58" s="36"/>
      <c r="H58" s="36"/>
      <c r="I58" s="37" t="s">
        <v>126</v>
      </c>
      <c r="J58" s="38" t="s">
        <v>127</v>
      </c>
      <c r="K58" s="36"/>
      <c r="L58" s="36"/>
      <c r="M58" s="36"/>
      <c r="N58" s="71" t="s">
        <v>135</v>
      </c>
      <c r="O58" s="74" t="s">
        <v>136</v>
      </c>
      <c r="P58" s="99"/>
      <c r="Q58" s="34"/>
      <c r="R58" s="34"/>
      <c r="S58" s="105"/>
      <c r="T58" s="94"/>
      <c r="U58" s="95" t="s">
        <v>2</v>
      </c>
      <c r="V58" s="34"/>
      <c r="W58" s="77"/>
      <c r="X58" s="40"/>
      <c r="Y58" s="40"/>
      <c r="Z58" s="40"/>
      <c r="AA58" s="90" t="s">
        <v>72</v>
      </c>
      <c r="AB58" s="41">
        <f>X38</f>
        <v>-0.9500000000000001</v>
      </c>
      <c r="AC58" s="41">
        <f>Y38</f>
        <v>0</v>
      </c>
      <c r="AD58" s="40">
        <f t="shared" si="16"/>
        <v>0</v>
      </c>
      <c r="AE58" s="40">
        <f t="shared" si="17"/>
        <v>0</v>
      </c>
      <c r="AF58" s="40">
        <f t="shared" si="18"/>
        <v>0</v>
      </c>
      <c r="AG58" s="40"/>
      <c r="AH58" s="40"/>
      <c r="AI58" s="40"/>
      <c r="AJ58" s="40"/>
      <c r="AK58" s="40"/>
      <c r="AL58" s="78"/>
      <c r="AM58" s="34"/>
      <c r="AN58" s="34"/>
      <c r="AO58" s="34"/>
      <c r="AP58" s="34"/>
      <c r="AQ58" s="34"/>
      <c r="AR58" s="34"/>
      <c r="AS58" s="34"/>
      <c r="AT58" s="34"/>
      <c r="AU58" s="34"/>
      <c r="AV58" s="34"/>
      <c r="AW58" s="34"/>
      <c r="AX58" s="34"/>
      <c r="AY58" s="34"/>
      <c r="AZ58" s="34"/>
      <c r="BA58" s="34"/>
    </row>
    <row r="59" spans="1:53" ht="12.75">
      <c r="A59" s="34" t="s">
        <v>145</v>
      </c>
      <c r="B59" s="34"/>
      <c r="C59" s="34"/>
      <c r="D59" s="39" t="s">
        <v>72</v>
      </c>
      <c r="E59" s="41"/>
      <c r="F59" s="41"/>
      <c r="G59" s="40"/>
      <c r="H59" s="40"/>
      <c r="I59" s="41" t="str">
        <f aca="true" t="shared" si="19" ref="I59:J62">IF(gleisig=1,IF($AS$34&lt;$AS$33,AN38,"u&gt;=75"),"2-gleisig")</f>
        <v>2-gleisig</v>
      </c>
      <c r="J59" s="42" t="str">
        <f t="shared" si="19"/>
        <v>2-gleisig</v>
      </c>
      <c r="K59" s="40"/>
      <c r="L59" s="40"/>
      <c r="M59" s="40"/>
      <c r="N59" s="41" t="str">
        <f>IF(gleisig=1,IF($AS$34&lt;$AS$33,I59-$AN$6,"u&gt;=75"),"2-gleisig")</f>
        <v>2-gleisig</v>
      </c>
      <c r="O59" s="41" t="str">
        <f>IF(gleisig=1,IF($AS$34&lt;$AS$33,J59-$J$62,"u&gt;=75"),"2-gleisig")</f>
        <v>2-gleisig</v>
      </c>
      <c r="P59" s="100"/>
      <c r="Q59" s="34"/>
      <c r="R59" s="34"/>
      <c r="S59" s="34"/>
      <c r="T59" s="34"/>
      <c r="U59" s="34"/>
      <c r="V59" s="34"/>
      <c r="W59" s="77"/>
      <c r="X59" s="40"/>
      <c r="Y59" s="40"/>
      <c r="Z59" s="40"/>
      <c r="AA59" s="90" t="s">
        <v>70</v>
      </c>
      <c r="AB59" s="41">
        <f>X33</f>
        <v>2.4499999999999997</v>
      </c>
      <c r="AC59" s="41">
        <f>Y33</f>
        <v>0</v>
      </c>
      <c r="AD59" s="40">
        <f t="shared" si="16"/>
        <v>0</v>
      </c>
      <c r="AE59" s="40">
        <f t="shared" si="17"/>
        <v>0</v>
      </c>
      <c r="AF59" s="40">
        <f t="shared" si="18"/>
        <v>0</v>
      </c>
      <c r="AG59" s="40"/>
      <c r="AH59" s="40"/>
      <c r="AI59" s="40"/>
      <c r="AJ59" s="40"/>
      <c r="AK59" s="40"/>
      <c r="AL59" s="78"/>
      <c r="AM59" s="34"/>
      <c r="AN59" s="34"/>
      <c r="AO59" s="34"/>
      <c r="AP59" s="34"/>
      <c r="AQ59" s="34"/>
      <c r="AR59" s="34"/>
      <c r="AS59" s="34"/>
      <c r="AT59" s="34"/>
      <c r="AU59" s="34"/>
      <c r="AV59" s="34"/>
      <c r="AW59" s="34"/>
      <c r="AX59" s="34"/>
      <c r="AY59" s="34"/>
      <c r="AZ59" s="34"/>
      <c r="BA59" s="34"/>
    </row>
    <row r="60" spans="1:53" ht="12.75">
      <c r="A60" s="34"/>
      <c r="B60" s="34"/>
      <c r="C60" s="34"/>
      <c r="D60" s="39" t="s">
        <v>70</v>
      </c>
      <c r="E60" s="41"/>
      <c r="F60" s="41"/>
      <c r="G60" s="40"/>
      <c r="H60" s="40"/>
      <c r="I60" s="41" t="str">
        <f t="shared" si="19"/>
        <v>2-gleisig</v>
      </c>
      <c r="J60" s="42" t="str">
        <f t="shared" si="19"/>
        <v>2-gleisig</v>
      </c>
      <c r="K60" s="40"/>
      <c r="L60" s="75"/>
      <c r="M60" s="40"/>
      <c r="N60" s="41" t="str">
        <f>IF(gleisig=1,IF($AS$34&lt;$AS$33,I60-$AN$6,"u&gt;=75"),"2-gleisig")</f>
        <v>2-gleisig</v>
      </c>
      <c r="O60" s="41" t="str">
        <f>IF(gleisig=1,IF($AS$34&lt;$AS$33,J60-$J$62,"u&gt;=75"),"2-gleisig")</f>
        <v>2-gleisig</v>
      </c>
      <c r="P60" s="100"/>
      <c r="Q60" s="34"/>
      <c r="R60" s="34"/>
      <c r="S60" s="34"/>
      <c r="T60" s="34"/>
      <c r="U60" s="34"/>
      <c r="V60" s="34"/>
      <c r="W60" s="77"/>
      <c r="X60" s="40"/>
      <c r="Y60" s="40"/>
      <c r="Z60" s="40"/>
      <c r="AA60" s="90" t="s">
        <v>79</v>
      </c>
      <c r="AB60" s="82"/>
      <c r="AC60" s="82"/>
      <c r="AD60" s="82"/>
      <c r="AE60" s="82"/>
      <c r="AF60" s="82">
        <f>SUM(AF54:AF59)/2</f>
        <v>-3.056420743243243</v>
      </c>
      <c r="AG60" s="40" t="s">
        <v>21</v>
      </c>
      <c r="AH60" s="40"/>
      <c r="AI60" s="40"/>
      <c r="AJ60" s="40"/>
      <c r="AK60" s="40"/>
      <c r="AL60" s="78"/>
      <c r="AM60" s="34"/>
      <c r="AN60" s="34"/>
      <c r="AO60" s="34"/>
      <c r="AP60" s="34"/>
      <c r="AQ60" s="34"/>
      <c r="AR60" s="34"/>
      <c r="AS60" s="34"/>
      <c r="AT60" s="34"/>
      <c r="AU60" s="34"/>
      <c r="AV60" s="34"/>
      <c r="AW60" s="34"/>
      <c r="AX60" s="34"/>
      <c r="AY60" s="34"/>
      <c r="AZ60" s="34"/>
      <c r="BA60" s="34"/>
    </row>
    <row r="61" spans="1:53" ht="13.5" thickBot="1">
      <c r="A61" s="34"/>
      <c r="B61" s="34"/>
      <c r="C61" s="34"/>
      <c r="D61" s="39" t="s">
        <v>43</v>
      </c>
      <c r="E61" s="41"/>
      <c r="F61" s="41"/>
      <c r="G61" s="40"/>
      <c r="H61" s="40"/>
      <c r="I61" s="41" t="str">
        <f t="shared" si="19"/>
        <v>2-gleisig</v>
      </c>
      <c r="J61" s="42" t="str">
        <f t="shared" si="19"/>
        <v>2-gleisig</v>
      </c>
      <c r="K61" s="40"/>
      <c r="L61" s="76"/>
      <c r="M61" s="40"/>
      <c r="N61" s="41" t="str">
        <f>IF(gleisig=1,IF($AS$34&lt;$AS$33,I61-$AN$6,"u&gt;=75"),"2-gleisig")</f>
        <v>2-gleisig</v>
      </c>
      <c r="O61" s="41" t="str">
        <f>IF(gleisig=1,IF($AS$34&lt;$AS$33,J61-$J$62,"u&gt;=75"),"2-gleisig")</f>
        <v>2-gleisig</v>
      </c>
      <c r="P61" s="100"/>
      <c r="Q61" s="34" t="s">
        <v>27</v>
      </c>
      <c r="R61" s="34"/>
      <c r="S61" s="34"/>
      <c r="T61" s="34"/>
      <c r="U61" s="34"/>
      <c r="V61" s="34"/>
      <c r="W61" s="77"/>
      <c r="X61" s="40"/>
      <c r="Y61" s="40"/>
      <c r="Z61" s="40"/>
      <c r="AA61" s="40"/>
      <c r="AB61" s="40"/>
      <c r="AC61" s="40"/>
      <c r="AD61" s="40"/>
      <c r="AE61" s="40"/>
      <c r="AF61" s="40"/>
      <c r="AG61" s="40"/>
      <c r="AH61" s="40"/>
      <c r="AI61" s="40"/>
      <c r="AJ61" s="40"/>
      <c r="AK61" s="40"/>
      <c r="AL61" s="78"/>
      <c r="AM61" s="34"/>
      <c r="AN61" s="34"/>
      <c r="AO61" s="34"/>
      <c r="AP61" s="34"/>
      <c r="AQ61" s="34"/>
      <c r="AR61" s="34"/>
      <c r="AS61" s="34"/>
      <c r="AT61" s="34"/>
      <c r="AU61" s="34"/>
      <c r="AV61" s="34"/>
      <c r="AW61" s="34"/>
      <c r="AX61" s="34"/>
      <c r="AY61" s="34"/>
      <c r="AZ61" s="34"/>
      <c r="BA61" s="34"/>
    </row>
    <row r="62" spans="1:53" ht="12.75">
      <c r="A62" s="34"/>
      <c r="B62" s="34"/>
      <c r="C62" s="34"/>
      <c r="D62" s="39" t="s">
        <v>71</v>
      </c>
      <c r="E62" s="41"/>
      <c r="F62" s="41"/>
      <c r="G62" s="40"/>
      <c r="H62" s="40"/>
      <c r="I62" s="41" t="str">
        <f t="shared" si="19"/>
        <v>2-gleisig</v>
      </c>
      <c r="J62" s="42" t="str">
        <f t="shared" si="19"/>
        <v>2-gleisig</v>
      </c>
      <c r="K62" s="40"/>
      <c r="L62" s="76"/>
      <c r="M62" s="40"/>
      <c r="N62" s="41" t="str">
        <f>IF(gleisig=1,IF($AS$34&lt;$AS$33,I62-$AN$6,"u&gt;=75"),"2-gleisig")</f>
        <v>2-gleisig</v>
      </c>
      <c r="O62" s="41" t="str">
        <f>IF(gleisig=1,IF($AS$34&lt;$AS$33,J62-$J$62,"u&gt;=75"),"2-gleisig")</f>
        <v>2-gleisig</v>
      </c>
      <c r="P62" s="100"/>
      <c r="Q62" s="34"/>
      <c r="R62" s="34"/>
      <c r="S62" s="103"/>
      <c r="T62" s="84">
        <v>3.8</v>
      </c>
      <c r="U62" s="85" t="s">
        <v>2</v>
      </c>
      <c r="V62" s="34"/>
      <c r="W62" s="77"/>
      <c r="X62" s="40"/>
      <c r="Y62" s="40"/>
      <c r="Z62" s="40"/>
      <c r="AA62" s="40" t="s">
        <v>80</v>
      </c>
      <c r="AB62" s="40"/>
      <c r="AC62" s="40"/>
      <c r="AD62" s="40"/>
      <c r="AE62" s="40"/>
      <c r="AF62" s="40" t="str">
        <f>IF(AF60+AF50=AF40,"o.k.","Fehler")</f>
        <v>o.k.</v>
      </c>
      <c r="AG62" s="40"/>
      <c r="AH62" s="40"/>
      <c r="AI62" s="40"/>
      <c r="AJ62" s="40"/>
      <c r="AK62" s="40"/>
      <c r="AL62" s="78"/>
      <c r="AM62" s="34"/>
      <c r="AN62" s="34"/>
      <c r="AO62" s="34"/>
      <c r="AP62" s="34"/>
      <c r="AQ62" s="34"/>
      <c r="AR62" s="34"/>
      <c r="AS62" s="34"/>
      <c r="AT62" s="34"/>
      <c r="AU62" s="34"/>
      <c r="AV62" s="34"/>
      <c r="AW62" s="34"/>
      <c r="AX62" s="34"/>
      <c r="AY62" s="34"/>
      <c r="AZ62" s="34"/>
      <c r="BA62" s="34"/>
    </row>
    <row r="63" spans="1:53" ht="12.75">
      <c r="A63" s="34"/>
      <c r="B63" s="34"/>
      <c r="C63" s="34"/>
      <c r="D63" s="43" t="s">
        <v>72</v>
      </c>
      <c r="E63" s="44"/>
      <c r="F63" s="44"/>
      <c r="G63" s="44"/>
      <c r="H63" s="44"/>
      <c r="I63" s="45" t="str">
        <f>I59</f>
        <v>2-gleisig</v>
      </c>
      <c r="J63" s="46" t="str">
        <f>J59</f>
        <v>2-gleisig</v>
      </c>
      <c r="K63" s="44"/>
      <c r="L63" s="44"/>
      <c r="M63" s="44"/>
      <c r="N63" s="45" t="str">
        <f>N59</f>
        <v>2-gleisig</v>
      </c>
      <c r="O63" s="45" t="str">
        <f>IF(gleisig=1,IF($AS$34&lt;$AS$33,J63-$J$62,"u&gt;=75"),"2-gleisig")</f>
        <v>2-gleisig</v>
      </c>
      <c r="P63" s="104"/>
      <c r="Q63" s="34"/>
      <c r="R63" s="34"/>
      <c r="S63" s="77"/>
      <c r="T63" s="87">
        <v>4</v>
      </c>
      <c r="U63" s="78" t="s">
        <v>2</v>
      </c>
      <c r="V63" s="34"/>
      <c r="W63" s="77"/>
      <c r="X63" s="40"/>
      <c r="Y63" s="40"/>
      <c r="Z63" s="40"/>
      <c r="AA63" s="40"/>
      <c r="AB63" s="40"/>
      <c r="AC63" s="40"/>
      <c r="AD63" s="40"/>
      <c r="AE63" s="40"/>
      <c r="AF63" s="40"/>
      <c r="AG63" s="40"/>
      <c r="AH63" s="40"/>
      <c r="AI63" s="40"/>
      <c r="AJ63" s="40"/>
      <c r="AK63" s="40"/>
      <c r="AL63" s="78"/>
      <c r="AM63" s="34"/>
      <c r="AN63" s="34"/>
      <c r="AO63" s="34"/>
      <c r="AP63" s="34"/>
      <c r="AQ63" s="34"/>
      <c r="AR63" s="34"/>
      <c r="AS63" s="34"/>
      <c r="AT63" s="34"/>
      <c r="AU63" s="34"/>
      <c r="AV63" s="34"/>
      <c r="AW63" s="34"/>
      <c r="AX63" s="34"/>
      <c r="AY63" s="34"/>
      <c r="AZ63" s="34"/>
      <c r="BA63" s="34"/>
    </row>
    <row r="64" spans="1:53" ht="12.75">
      <c r="A64" s="34"/>
      <c r="B64" s="34"/>
      <c r="C64" s="34"/>
      <c r="D64" s="34"/>
      <c r="E64" s="34"/>
      <c r="F64" s="34"/>
      <c r="G64" s="34"/>
      <c r="H64" s="34"/>
      <c r="I64" s="34"/>
      <c r="J64" s="34"/>
      <c r="K64" s="34"/>
      <c r="L64" s="34"/>
      <c r="M64" s="34"/>
      <c r="N64" s="34"/>
      <c r="O64" s="34"/>
      <c r="P64" s="34"/>
      <c r="Q64" s="34"/>
      <c r="R64" s="34"/>
      <c r="S64" s="77"/>
      <c r="T64" s="87">
        <v>4.5</v>
      </c>
      <c r="U64" s="78" t="s">
        <v>2</v>
      </c>
      <c r="V64" s="34"/>
      <c r="W64" s="77"/>
      <c r="X64" s="40"/>
      <c r="Y64" s="40"/>
      <c r="Z64" s="40"/>
      <c r="AA64" s="40"/>
      <c r="AB64" s="40"/>
      <c r="AC64" s="40"/>
      <c r="AD64" s="40"/>
      <c r="AE64" s="40"/>
      <c r="AF64" s="40"/>
      <c r="AG64" s="40"/>
      <c r="AH64" s="40"/>
      <c r="AI64" s="40"/>
      <c r="AJ64" s="40"/>
      <c r="AK64" s="40"/>
      <c r="AL64" s="78"/>
      <c r="AM64" s="34"/>
      <c r="AN64" s="34"/>
      <c r="AO64" s="34"/>
      <c r="AP64" s="34"/>
      <c r="AQ64" s="34"/>
      <c r="AR64" s="34"/>
      <c r="AS64" s="34"/>
      <c r="AT64" s="34"/>
      <c r="AU64" s="34"/>
      <c r="AV64" s="34"/>
      <c r="AW64" s="34"/>
      <c r="AX64" s="34"/>
      <c r="AY64" s="34"/>
      <c r="AZ64" s="34"/>
      <c r="BA64" s="34"/>
    </row>
    <row r="65" spans="1:53" ht="13.5" thickBot="1">
      <c r="A65" s="34"/>
      <c r="B65" s="34"/>
      <c r="C65" s="34"/>
      <c r="D65" s="34"/>
      <c r="E65" s="34"/>
      <c r="F65" s="34"/>
      <c r="G65" s="34"/>
      <c r="H65" s="34"/>
      <c r="I65" s="34"/>
      <c r="J65" s="34"/>
      <c r="K65" s="34"/>
      <c r="L65" s="34"/>
      <c r="M65" s="34"/>
      <c r="N65" s="34"/>
      <c r="O65" s="34"/>
      <c r="P65" s="34"/>
      <c r="Q65" s="34"/>
      <c r="R65" s="34"/>
      <c r="S65" s="77"/>
      <c r="T65" s="87">
        <v>4.7</v>
      </c>
      <c r="U65" s="78" t="s">
        <v>2</v>
      </c>
      <c r="V65" s="34"/>
      <c r="W65" s="105"/>
      <c r="X65" s="106"/>
      <c r="Y65" s="106"/>
      <c r="Z65" s="106"/>
      <c r="AA65" s="106"/>
      <c r="AB65" s="106"/>
      <c r="AC65" s="106"/>
      <c r="AD65" s="106"/>
      <c r="AE65" s="106"/>
      <c r="AF65" s="106"/>
      <c r="AG65" s="106"/>
      <c r="AH65" s="106"/>
      <c r="AI65" s="106"/>
      <c r="AJ65" s="106"/>
      <c r="AK65" s="106"/>
      <c r="AL65" s="95"/>
      <c r="AM65" s="34"/>
      <c r="AN65" s="34"/>
      <c r="AO65" s="34"/>
      <c r="AP65" s="34"/>
      <c r="AQ65" s="34"/>
      <c r="AR65" s="34"/>
      <c r="AS65" s="34"/>
      <c r="AT65" s="34"/>
      <c r="AU65" s="34"/>
      <c r="AV65" s="34"/>
      <c r="AW65" s="34"/>
      <c r="AX65" s="34"/>
      <c r="AY65" s="34"/>
      <c r="AZ65" s="34"/>
      <c r="BA65" s="34"/>
    </row>
    <row r="66" spans="1:53" ht="12.75">
      <c r="A66" s="34"/>
      <c r="B66" s="34"/>
      <c r="C66" s="34"/>
      <c r="D66" s="34"/>
      <c r="E66" s="34"/>
      <c r="F66" s="34"/>
      <c r="G66" s="34"/>
      <c r="H66" s="34"/>
      <c r="I66" s="34"/>
      <c r="J66" s="34"/>
      <c r="K66" s="34"/>
      <c r="L66" s="34"/>
      <c r="M66" s="34"/>
      <c r="N66" s="34"/>
      <c r="O66" s="34"/>
      <c r="P66" s="34"/>
      <c r="Q66" s="34"/>
      <c r="R66" s="34"/>
      <c r="S66" s="77"/>
      <c r="T66" s="87"/>
      <c r="U66" s="78" t="s">
        <v>2</v>
      </c>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row>
    <row r="67" spans="1:53" ht="13.5" thickBot="1">
      <c r="A67" s="34"/>
      <c r="B67" s="34"/>
      <c r="C67" s="34"/>
      <c r="D67" s="34"/>
      <c r="E67" s="34"/>
      <c r="F67" s="34"/>
      <c r="G67" s="34"/>
      <c r="H67" s="34"/>
      <c r="I67" s="34"/>
      <c r="J67" s="34"/>
      <c r="K67" s="34"/>
      <c r="L67" s="34"/>
      <c r="M67" s="34"/>
      <c r="N67" s="34"/>
      <c r="O67" s="34"/>
      <c r="P67" s="34"/>
      <c r="Q67" s="34"/>
      <c r="R67" s="34"/>
      <c r="S67" s="105"/>
      <c r="T67" s="94"/>
      <c r="U67" s="95" t="s">
        <v>2</v>
      </c>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row>
    <row r="68" spans="1:53"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row>
    <row r="69" spans="1:53"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row>
    <row r="70" spans="1:53" ht="13.5" thickBot="1">
      <c r="A70" s="34"/>
      <c r="B70" s="34"/>
      <c r="C70" s="34"/>
      <c r="D70" s="34"/>
      <c r="E70" s="34"/>
      <c r="F70" s="34"/>
      <c r="G70" s="34"/>
      <c r="H70" s="34"/>
      <c r="I70" s="34"/>
      <c r="J70" s="34"/>
      <c r="K70" s="34"/>
      <c r="L70" s="34"/>
      <c r="M70" s="34"/>
      <c r="N70" s="34"/>
      <c r="O70" s="34"/>
      <c r="P70" s="34"/>
      <c r="Q70" s="34" t="s">
        <v>84</v>
      </c>
      <c r="R70" s="34"/>
      <c r="S70" s="96">
        <f>VLOOKUP(C11,S71:W84,5,FALSE)</f>
        <v>0.19</v>
      </c>
      <c r="T70" s="40" t="s">
        <v>85</v>
      </c>
      <c r="U70" s="40"/>
      <c r="V70" s="34" t="s">
        <v>90</v>
      </c>
      <c r="W70" s="40" t="s">
        <v>86</v>
      </c>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row>
    <row r="71" spans="1:53" ht="12.75">
      <c r="A71" s="34"/>
      <c r="B71" s="34"/>
      <c r="C71" s="34"/>
      <c r="D71" s="34"/>
      <c r="E71" s="34"/>
      <c r="F71" s="34"/>
      <c r="G71" s="34"/>
      <c r="H71" s="34"/>
      <c r="I71" s="34"/>
      <c r="J71" s="34"/>
      <c r="K71" s="34"/>
      <c r="L71" s="34"/>
      <c r="M71" s="34"/>
      <c r="N71" s="34"/>
      <c r="O71" s="34"/>
      <c r="P71" s="34"/>
      <c r="Q71" s="34"/>
      <c r="R71" s="34"/>
      <c r="S71" s="83" t="s">
        <v>93</v>
      </c>
      <c r="T71" s="84">
        <v>2.6</v>
      </c>
      <c r="U71" s="85" t="s">
        <v>2</v>
      </c>
      <c r="V71" s="108">
        <f>T71*T10*R72*1000</f>
        <v>108.16000000000003</v>
      </c>
      <c r="W71" s="79">
        <f>(V71/1000)/a</f>
        <v>0.18026666666666671</v>
      </c>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row>
    <row r="72" spans="1:53" ht="12.75">
      <c r="A72" s="34"/>
      <c r="B72" s="34"/>
      <c r="C72" s="34"/>
      <c r="D72" s="34"/>
      <c r="E72" s="34"/>
      <c r="F72" s="34"/>
      <c r="G72" s="34"/>
      <c r="H72" s="34"/>
      <c r="I72" s="34"/>
      <c r="J72" s="34"/>
      <c r="K72" s="34"/>
      <c r="L72" s="34"/>
      <c r="M72" s="34"/>
      <c r="N72" s="34"/>
      <c r="O72" s="34"/>
      <c r="P72" s="34"/>
      <c r="Q72" s="88" t="s">
        <v>119</v>
      </c>
      <c r="R72" s="109">
        <v>0.26</v>
      </c>
      <c r="S72" s="86" t="s">
        <v>94</v>
      </c>
      <c r="T72" s="87">
        <v>2.6</v>
      </c>
      <c r="U72" s="78" t="s">
        <v>2</v>
      </c>
      <c r="V72" s="108">
        <f>T72*T11*R73*1000</f>
        <v>101.4</v>
      </c>
      <c r="W72" s="79">
        <f>(V72/1000)/a</f>
        <v>0.169</v>
      </c>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row>
    <row r="73" spans="1:53" ht="12.75">
      <c r="A73" s="34"/>
      <c r="B73" s="34"/>
      <c r="C73" s="34"/>
      <c r="D73" s="34"/>
      <c r="E73" s="34"/>
      <c r="F73" s="34"/>
      <c r="G73" s="34"/>
      <c r="H73" s="34"/>
      <c r="I73" s="34"/>
      <c r="J73" s="34"/>
      <c r="K73" s="34"/>
      <c r="L73" s="34"/>
      <c r="M73" s="34"/>
      <c r="N73" s="34"/>
      <c r="O73" s="34"/>
      <c r="P73" s="34"/>
      <c r="Q73" s="88" t="s">
        <v>119</v>
      </c>
      <c r="R73" s="109">
        <v>0.26</v>
      </c>
      <c r="S73" s="86" t="s">
        <v>95</v>
      </c>
      <c r="T73" s="87">
        <v>2.5</v>
      </c>
      <c r="U73" s="78" t="s">
        <v>2</v>
      </c>
      <c r="V73" s="108">
        <f>T73*T12*R74*1000</f>
        <v>90</v>
      </c>
      <c r="W73" s="79">
        <f>(V73/1000)/a</f>
        <v>0.15</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row>
    <row r="74" spans="1:53" ht="12.75">
      <c r="A74" s="34"/>
      <c r="B74" s="34"/>
      <c r="C74" s="34"/>
      <c r="D74" s="34"/>
      <c r="E74" s="34"/>
      <c r="F74" s="34"/>
      <c r="G74" s="34"/>
      <c r="H74" s="34"/>
      <c r="I74" s="34"/>
      <c r="J74" s="34"/>
      <c r="K74" s="34"/>
      <c r="L74" s="34"/>
      <c r="M74" s="34"/>
      <c r="N74" s="34"/>
      <c r="O74" s="34"/>
      <c r="P74" s="34"/>
      <c r="Q74" s="88" t="s">
        <v>119</v>
      </c>
      <c r="R74" s="109">
        <v>0.24</v>
      </c>
      <c r="S74" s="86" t="s">
        <v>96</v>
      </c>
      <c r="T74" s="87">
        <v>2.5</v>
      </c>
      <c r="U74" s="78" t="s">
        <v>2</v>
      </c>
      <c r="V74" s="108">
        <f>T74*T13*R75*1000</f>
        <v>84</v>
      </c>
      <c r="W74" s="79">
        <f>(V74/1000)/a</f>
        <v>0.14</v>
      </c>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row>
    <row r="75" spans="1:53" ht="12.75">
      <c r="A75" s="34"/>
      <c r="B75" s="34"/>
      <c r="C75" s="34"/>
      <c r="D75" s="34"/>
      <c r="E75" s="34"/>
      <c r="F75" s="34"/>
      <c r="G75" s="34"/>
      <c r="H75" s="34"/>
      <c r="I75" s="34"/>
      <c r="J75" s="34"/>
      <c r="K75" s="34"/>
      <c r="L75" s="34"/>
      <c r="M75" s="34"/>
      <c r="N75" s="34"/>
      <c r="O75" s="34"/>
      <c r="P75" s="34"/>
      <c r="Q75" s="88" t="s">
        <v>119</v>
      </c>
      <c r="R75" s="109">
        <v>0.24</v>
      </c>
      <c r="S75" s="86" t="s">
        <v>120</v>
      </c>
      <c r="T75" s="87">
        <v>2.6</v>
      </c>
      <c r="U75" s="78" t="s">
        <v>2</v>
      </c>
      <c r="V75" s="108">
        <f>(0.26*0.009+(2*(0.065*0.009)))*T75*1000</f>
        <v>9.126000000000001</v>
      </c>
      <c r="W75" s="79">
        <f>(V75/1000)/a</f>
        <v>0.015210000000000001</v>
      </c>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row>
    <row r="76" spans="1:53" ht="12.75">
      <c r="A76" s="34"/>
      <c r="B76" s="34"/>
      <c r="C76" s="34"/>
      <c r="D76" s="34"/>
      <c r="E76" s="34"/>
      <c r="F76" s="34"/>
      <c r="G76" s="34"/>
      <c r="H76" s="34"/>
      <c r="I76" s="34"/>
      <c r="J76" s="34"/>
      <c r="K76" s="34"/>
      <c r="L76" s="34"/>
      <c r="M76" s="34"/>
      <c r="N76" s="34"/>
      <c r="O76" s="34"/>
      <c r="P76" s="34"/>
      <c r="Q76" s="88"/>
      <c r="R76" s="109"/>
      <c r="S76" s="86"/>
      <c r="T76" s="87"/>
      <c r="U76" s="78"/>
      <c r="V76" s="79"/>
      <c r="W76" s="79"/>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row>
    <row r="77" spans="1:53" ht="12.75">
      <c r="A77" s="34"/>
      <c r="B77" s="34"/>
      <c r="C77" s="34"/>
      <c r="D77" s="34"/>
      <c r="E77" s="34"/>
      <c r="F77" s="34"/>
      <c r="G77" s="34"/>
      <c r="H77" s="34"/>
      <c r="I77" s="34"/>
      <c r="J77" s="34"/>
      <c r="K77" s="34"/>
      <c r="L77" s="34"/>
      <c r="M77" s="34"/>
      <c r="N77" s="34"/>
      <c r="O77" s="34"/>
      <c r="P77" s="34"/>
      <c r="Q77" s="88"/>
      <c r="R77" s="109"/>
      <c r="S77" s="86" t="s">
        <v>29</v>
      </c>
      <c r="T77" s="87">
        <v>2.4</v>
      </c>
      <c r="U77" s="78" t="s">
        <v>2</v>
      </c>
      <c r="V77" s="34">
        <v>96</v>
      </c>
      <c r="W77" s="79">
        <f aca="true" t="shared" si="20" ref="W77:W82">(V77/1000)/a</f>
        <v>0.16</v>
      </c>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row>
    <row r="78" spans="1:53" ht="12.75">
      <c r="A78" s="34"/>
      <c r="B78" s="34"/>
      <c r="C78" s="34"/>
      <c r="D78" s="34"/>
      <c r="E78" s="34"/>
      <c r="F78" s="34"/>
      <c r="G78" s="34"/>
      <c r="H78" s="34"/>
      <c r="I78" s="34"/>
      <c r="J78" s="34"/>
      <c r="K78" s="34"/>
      <c r="L78" s="34"/>
      <c r="M78" s="34"/>
      <c r="N78" s="34"/>
      <c r="O78" s="34"/>
      <c r="P78" s="34"/>
      <c r="Q78" s="88"/>
      <c r="R78" s="109"/>
      <c r="S78" s="86" t="s">
        <v>92</v>
      </c>
      <c r="T78" s="87">
        <v>2.4</v>
      </c>
      <c r="U78" s="78" t="s">
        <v>2</v>
      </c>
      <c r="V78" s="34">
        <v>104</v>
      </c>
      <c r="W78" s="79">
        <f t="shared" si="20"/>
        <v>0.17333333333333334</v>
      </c>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row>
    <row r="79" spans="17:23" ht="12.75">
      <c r="Q79" s="10"/>
      <c r="R79" s="25"/>
      <c r="S79" s="8" t="s">
        <v>91</v>
      </c>
      <c r="T79" s="13">
        <v>2.6</v>
      </c>
      <c r="U79" s="5" t="s">
        <v>2</v>
      </c>
      <c r="V79">
        <v>114</v>
      </c>
      <c r="W79" s="1">
        <f t="shared" si="20"/>
        <v>0.19</v>
      </c>
    </row>
    <row r="80" spans="17:23" ht="12.75">
      <c r="Q80" s="10"/>
      <c r="R80" s="25"/>
      <c r="S80" s="8" t="s">
        <v>11</v>
      </c>
      <c r="T80" s="13">
        <v>2.8</v>
      </c>
      <c r="U80" s="5" t="s">
        <v>2</v>
      </c>
      <c r="V80">
        <v>155</v>
      </c>
      <c r="W80" s="1">
        <f t="shared" si="20"/>
        <v>0.25833333333333336</v>
      </c>
    </row>
    <row r="81" spans="17:23" ht="12.75">
      <c r="Q81" s="10"/>
      <c r="R81" s="25"/>
      <c r="S81" s="8" t="s">
        <v>10</v>
      </c>
      <c r="T81" s="13">
        <v>2.6</v>
      </c>
      <c r="U81" s="5" t="s">
        <v>2</v>
      </c>
      <c r="V81">
        <v>135</v>
      </c>
      <c r="W81" s="1">
        <f t="shared" si="20"/>
        <v>0.22500000000000003</v>
      </c>
    </row>
    <row r="82" spans="17:23" ht="12.75">
      <c r="Q82" s="10"/>
      <c r="R82" s="25"/>
      <c r="S82" s="8" t="s">
        <v>89</v>
      </c>
      <c r="T82" s="13">
        <v>2.6</v>
      </c>
      <c r="U82" s="5" t="s">
        <v>2</v>
      </c>
      <c r="V82">
        <v>142</v>
      </c>
      <c r="W82" s="1">
        <f t="shared" si="20"/>
        <v>0.23666666666666666</v>
      </c>
    </row>
    <row r="83" spans="19:23" ht="12.75">
      <c r="S83" s="8" t="s">
        <v>123</v>
      </c>
      <c r="T83" s="13">
        <v>2.3</v>
      </c>
      <c r="U83" s="5" t="s">
        <v>2</v>
      </c>
      <c r="V83" s="1">
        <f>(R84*78.5/9.81)/100000</f>
        <v>0.01136289500509684</v>
      </c>
      <c r="W83" s="28">
        <f>V83*0.803</f>
        <v>0.009124404689092763</v>
      </c>
    </row>
    <row r="84" spans="17:23" ht="13.5" thickBot="1">
      <c r="Q84" t="s">
        <v>121</v>
      </c>
      <c r="R84">
        <v>142</v>
      </c>
      <c r="S84" s="9" t="s">
        <v>122</v>
      </c>
      <c r="T84" s="14">
        <v>2.3</v>
      </c>
      <c r="U84" s="6" t="s">
        <v>2</v>
      </c>
      <c r="V84" s="1">
        <f>(R85*78.5/9.81)/100000</f>
        <v>0.01136289500509684</v>
      </c>
      <c r="W84" s="28">
        <f>V84*0.758</f>
        <v>0.008613074413863404</v>
      </c>
    </row>
    <row r="85" spans="17:18" ht="12.75">
      <c r="Q85" t="s">
        <v>121</v>
      </c>
      <c r="R85">
        <v>142</v>
      </c>
    </row>
  </sheetData>
  <sheetProtection password="8B5E" sheet="1" objects="1" scenarios="1"/>
  <dataValidations count="9">
    <dataValidation type="list" showInputMessage="1" showErrorMessage="1" sqref="C11">
      <formula1>$S$10:$S$23</formula1>
    </dataValidation>
    <dataValidation type="list" allowBlank="1" showInputMessage="1" showErrorMessage="1" sqref="C19">
      <formula1>$T$44:$T$49</formula1>
    </dataValidation>
    <dataValidation type="list" allowBlank="1" showInputMessage="1" showErrorMessage="1" sqref="C27">
      <formula1>$E$27:$E$28</formula1>
    </dataValidation>
    <dataValidation type="list" allowBlank="1" showInputMessage="1" showErrorMessage="1" sqref="C23">
      <formula1>$T$53:$T$58</formula1>
    </dataValidation>
    <dataValidation type="whole" allowBlank="1" showInputMessage="1" showErrorMessage="1" sqref="C9">
      <formula1>0</formula1>
      <formula2>330</formula2>
    </dataValidation>
    <dataValidation type="list" allowBlank="1" showInputMessage="1" showErrorMessage="1" sqref="N11">
      <formula1>$P$11:$P$12</formula1>
    </dataValidation>
    <dataValidation type="whole" allowBlank="1" showInputMessage="1" showErrorMessage="1" sqref="C35">
      <formula1>0</formula1>
      <formula2>160</formula2>
    </dataValidation>
    <dataValidation type="decimal" allowBlank="1" showInputMessage="1" showErrorMessage="1" sqref="C31">
      <formula1>3.8</formula1>
      <formula2>6</formula2>
    </dataValidation>
    <dataValidation type="whole" allowBlank="1" showInputMessage="1" showErrorMessage="1" sqref="N15">
      <formula1>20</formula1>
      <formula2>40</formula2>
    </dataValidation>
  </dataValidations>
  <printOptions/>
  <pageMargins left="0.7874015748031497" right="0.92" top="0.7480314960629921" bottom="0.8267716535433072" header="0.5118110236220472" footer="0.3937007874015748"/>
  <pageSetup horizontalDpi="600" verticalDpi="600" orientation="portrait" paperSize="9" scale="85" r:id="rId2"/>
  <headerFooter alignWithMargins="0">
    <oddFooter>&amp;LDeutsche Bahn AG
Technik/Beschaffung
Oberbautechnik - T.TZF 61 Mißler
Kleyerstraße 90
60326 Frankfurt am Main &amp;RStand 28.04.2005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Bahn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yveszachert</cp:lastModifiedBy>
  <cp:lastPrinted>2005-05-11T11:50:23Z</cp:lastPrinted>
  <dcterms:created xsi:type="dcterms:W3CDTF">2004-08-27T13:38:01Z</dcterms:created>
  <dcterms:modified xsi:type="dcterms:W3CDTF">2010-10-13T07:41:06Z</dcterms:modified>
  <cp:category/>
  <cp:version/>
  <cp:contentType/>
  <cp:contentStatus/>
</cp:coreProperties>
</file>